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eaf4c1dbc0968d29/Documents/Cricket/Website/Rotation Tool/"/>
    </mc:Choice>
  </mc:AlternateContent>
  <xr:revisionPtr revIDLastSave="0" documentId="8_{E539AFF7-1208-4BAF-8082-4711DBE3BF92}" xr6:coauthVersionLast="47" xr6:coauthVersionMax="47" xr10:uidLastSave="{00000000-0000-0000-0000-000000000000}"/>
  <bookViews>
    <workbookView xWindow="29085" yWindow="-114" windowWidth="29427" windowHeight="14927" xr2:uid="{00000000-000D-0000-FFFF-FFFF00000000}"/>
  </bookViews>
  <sheets>
    <sheet name="Setup" sheetId="1" r:id="rId1"/>
    <sheet name="Season Fixture" sheetId="2" r:id="rId2"/>
    <sheet name="Weekly Planner" sheetId="3" r:id="rId3"/>
    <sheet name="Match Day Summary" sheetId="4" r:id="rId4"/>
    <sheet name="Stage 1 Season" sheetId="5" r:id="rId5"/>
    <sheet name="Season Log" sheetId="6" r:id="rId6"/>
    <sheet name="Stage 2-3 Audit" sheetId="7" r:id="rId7"/>
    <sheet name="Rules" sheetId="8" r:id="rId8"/>
  </sheets>
  <definedNames>
    <definedName name="_xlnm.Print_Area" localSheetId="3">'Match Day Summary'!$A$1:$H$48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7" l="1"/>
  <c r="AS19" i="7" s="1"/>
  <c r="A18" i="7"/>
  <c r="AE18" i="7" s="1"/>
  <c r="A17" i="7"/>
  <c r="AJ17" i="7" s="1"/>
  <c r="A16" i="7"/>
  <c r="AP16" i="7" s="1"/>
  <c r="A15" i="7"/>
  <c r="AD15" i="7" s="1"/>
  <c r="A14" i="7"/>
  <c r="AW14" i="7" s="1"/>
  <c r="A13" i="7"/>
  <c r="AT13" i="7" s="1"/>
  <c r="A12" i="7"/>
  <c r="Q12" i="7" s="1"/>
  <c r="A11" i="7"/>
  <c r="E11" i="7" s="1"/>
  <c r="A10" i="7"/>
  <c r="X10" i="7" s="1"/>
  <c r="A9" i="7"/>
  <c r="X9" i="7" s="1"/>
  <c r="A8" i="7"/>
  <c r="AU8" i="7" s="1"/>
  <c r="A7" i="7"/>
  <c r="F7" i="7" s="1"/>
  <c r="A6" i="7"/>
  <c r="BC6" i="7" s="1"/>
  <c r="G203" i="6"/>
  <c r="G202" i="6"/>
  <c r="G201" i="6"/>
  <c r="G200" i="6"/>
  <c r="G199" i="6"/>
  <c r="G198" i="6"/>
  <c r="G197" i="6"/>
  <c r="G196" i="6"/>
  <c r="G195" i="6"/>
  <c r="G194" i="6"/>
  <c r="G193" i="6"/>
  <c r="G192" i="6"/>
  <c r="G191" i="6"/>
  <c r="G190" i="6"/>
  <c r="G189" i="6"/>
  <c r="G188" i="6"/>
  <c r="G187" i="6"/>
  <c r="G186" i="6"/>
  <c r="G185" i="6"/>
  <c r="G184" i="6"/>
  <c r="G183" i="6"/>
  <c r="G182" i="6"/>
  <c r="G181" i="6"/>
  <c r="G180" i="6"/>
  <c r="G179" i="6"/>
  <c r="G178" i="6"/>
  <c r="G177" i="6"/>
  <c r="G176" i="6"/>
  <c r="G175" i="6"/>
  <c r="G174" i="6"/>
  <c r="G173" i="6"/>
  <c r="G172" i="6"/>
  <c r="G171" i="6"/>
  <c r="G170" i="6"/>
  <c r="G169" i="6"/>
  <c r="G168" i="6"/>
  <c r="G167" i="6"/>
  <c r="G166" i="6"/>
  <c r="G165" i="6"/>
  <c r="G164" i="6"/>
  <c r="G163" i="6"/>
  <c r="G162" i="6"/>
  <c r="G161" i="6"/>
  <c r="G160" i="6"/>
  <c r="G159" i="6"/>
  <c r="G158" i="6"/>
  <c r="G157" i="6"/>
  <c r="G156" i="6"/>
  <c r="G155" i="6"/>
  <c r="G154" i="6"/>
  <c r="G153" i="6"/>
  <c r="G152" i="6"/>
  <c r="G151" i="6"/>
  <c r="G150" i="6"/>
  <c r="G149" i="6"/>
  <c r="G148" i="6"/>
  <c r="G147" i="6"/>
  <c r="G146" i="6"/>
  <c r="G145" i="6"/>
  <c r="G144" i="6"/>
  <c r="G143" i="6"/>
  <c r="G142" i="6"/>
  <c r="G141" i="6"/>
  <c r="G140" i="6"/>
  <c r="G139" i="6"/>
  <c r="G138" i="6"/>
  <c r="G137" i="6"/>
  <c r="G136" i="6"/>
  <c r="G135" i="6"/>
  <c r="G134" i="6"/>
  <c r="G133" i="6"/>
  <c r="G132" i="6"/>
  <c r="G131" i="6"/>
  <c r="G130" i="6"/>
  <c r="G129" i="6"/>
  <c r="G128" i="6"/>
  <c r="G127" i="6"/>
  <c r="G126" i="6"/>
  <c r="G125" i="6"/>
  <c r="G124" i="6"/>
  <c r="G123" i="6"/>
  <c r="G122" i="6"/>
  <c r="G121" i="6"/>
  <c r="G120" i="6"/>
  <c r="G119" i="6"/>
  <c r="G118" i="6"/>
  <c r="G117" i="6"/>
  <c r="G116" i="6"/>
  <c r="G115" i="6"/>
  <c r="G114" i="6"/>
  <c r="G113" i="6"/>
  <c r="G112" i="6"/>
  <c r="G111" i="6"/>
  <c r="G110"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B2" i="4"/>
  <c r="B30" i="3"/>
  <c r="BW30" i="3" s="1"/>
  <c r="B29" i="3"/>
  <c r="B15" i="3"/>
  <c r="B10" i="3"/>
  <c r="B7" i="3"/>
  <c r="B6" i="3"/>
  <c r="B5" i="3"/>
  <c r="D17" i="4" s="1"/>
  <c r="B4" i="3"/>
  <c r="B3" i="4" s="1"/>
  <c r="B6" i="4" s="1"/>
  <c r="J31" i="1"/>
  <c r="I31" i="1" s="1"/>
  <c r="J30" i="1"/>
  <c r="I30" i="1" s="1"/>
  <c r="J29" i="1"/>
  <c r="I29" i="1" s="1"/>
  <c r="J28" i="1"/>
  <c r="I28" i="1" s="1"/>
  <c r="J27" i="1"/>
  <c r="I27" i="1" s="1"/>
  <c r="J26" i="1"/>
  <c r="I26" i="1" s="1"/>
  <c r="J25" i="1"/>
  <c r="I25" i="1" s="1"/>
  <c r="J24" i="1"/>
  <c r="J23" i="1"/>
  <c r="J22" i="1"/>
  <c r="J21" i="1"/>
  <c r="J20" i="1"/>
  <c r="J19" i="1"/>
  <c r="J18" i="1"/>
  <c r="J16" i="1"/>
  <c r="B12" i="1"/>
  <c r="B8" i="3" s="1"/>
  <c r="B3" i="1"/>
  <c r="B3" i="3" s="1"/>
  <c r="AB63" i="3" l="1"/>
  <c r="AO63" i="3" s="1"/>
  <c r="AD63" i="3"/>
  <c r="AQ63" i="3" s="1"/>
  <c r="BR63" i="3" s="1"/>
  <c r="AC63" i="3"/>
  <c r="AP63" i="3" s="1"/>
  <c r="AB64" i="3"/>
  <c r="AO64" i="3" s="1"/>
  <c r="BP64" i="3" s="1"/>
  <c r="AS17" i="7"/>
  <c r="AU17" i="7"/>
  <c r="BA17" i="7"/>
  <c r="D3" i="4"/>
  <c r="L19" i="7"/>
  <c r="T19" i="7"/>
  <c r="AE19" i="7"/>
  <c r="AE61" i="3"/>
  <c r="AR61" i="3" s="1"/>
  <c r="BE61" i="3" s="1"/>
  <c r="AF19" i="7"/>
  <c r="H19" i="7"/>
  <c r="D43" i="4"/>
  <c r="E43" i="4" s="1"/>
  <c r="I19" i="7"/>
  <c r="F52" i="3"/>
  <c r="X52" i="3"/>
  <c r="AK52" i="3" s="1"/>
  <c r="AX52" i="3" s="1"/>
  <c r="M19" i="7"/>
  <c r="B53" i="3"/>
  <c r="N19" i="7"/>
  <c r="F54" i="3"/>
  <c r="S19" i="7"/>
  <c r="U19" i="7"/>
  <c r="AD60" i="3"/>
  <c r="AQ60" i="3" s="1"/>
  <c r="BR60" i="3" s="1"/>
  <c r="AF61" i="3"/>
  <c r="AS61" i="3" s="1"/>
  <c r="BF61" i="3" s="1"/>
  <c r="AT19" i="7"/>
  <c r="D18" i="4"/>
  <c r="AE58" i="3"/>
  <c r="AR58" i="3" s="1"/>
  <c r="BE58" i="3" s="1"/>
  <c r="T63" i="3"/>
  <c r="AY19" i="7"/>
  <c r="AP17" i="7"/>
  <c r="AD70" i="3"/>
  <c r="AQ70" i="3" s="1"/>
  <c r="BR70" i="3" s="1"/>
  <c r="D39" i="4"/>
  <c r="F39" i="4" s="1"/>
  <c r="K19" i="7"/>
  <c r="Y52" i="3"/>
  <c r="AL52" i="3" s="1"/>
  <c r="BM52" i="3" s="1"/>
  <c r="V54" i="3"/>
  <c r="AI54" i="3" s="1"/>
  <c r="AV54" i="3" s="1"/>
  <c r="AA63" i="3"/>
  <c r="AN63" i="3" s="1"/>
  <c r="BA63" i="3" s="1"/>
  <c r="BB19" i="7"/>
  <c r="L13" i="7"/>
  <c r="AX15" i="7"/>
  <c r="T13" i="7"/>
  <c r="BB17" i="7"/>
  <c r="C17" i="7"/>
  <c r="U18" i="7"/>
  <c r="AB67" i="3"/>
  <c r="AO67" i="3" s="1"/>
  <c r="BB67" i="3" s="1"/>
  <c r="AG8" i="7"/>
  <c r="AV13" i="7"/>
  <c r="U17" i="7"/>
  <c r="Y18" i="7"/>
  <c r="AM19" i="7"/>
  <c r="AG55" i="3"/>
  <c r="AT55" i="3" s="1"/>
  <c r="BG55" i="3" s="1"/>
  <c r="AC67" i="3"/>
  <c r="AP67" i="3" s="1"/>
  <c r="BC67" i="3" s="1"/>
  <c r="AM8" i="7"/>
  <c r="AW13" i="7"/>
  <c r="V17" i="7"/>
  <c r="Z18" i="7"/>
  <c r="AN19" i="7"/>
  <c r="AL6" i="7"/>
  <c r="Z13" i="7"/>
  <c r="J17" i="7"/>
  <c r="L18" i="7"/>
  <c r="W55" i="3"/>
  <c r="AJ55" i="3" s="1"/>
  <c r="BK55" i="3" s="1"/>
  <c r="AK13" i="7"/>
  <c r="M17" i="7"/>
  <c r="M18" i="7"/>
  <c r="T66" i="3"/>
  <c r="Y55" i="3"/>
  <c r="AL55" i="3" s="1"/>
  <c r="AY55" i="3" s="1"/>
  <c r="W67" i="3"/>
  <c r="AJ67" i="3" s="1"/>
  <c r="BK67" i="3" s="1"/>
  <c r="W8" i="7"/>
  <c r="AM13" i="7"/>
  <c r="P17" i="7"/>
  <c r="AG19" i="7"/>
  <c r="AD55" i="3"/>
  <c r="AQ55" i="3" s="1"/>
  <c r="BR55" i="3" s="1"/>
  <c r="B57" i="3"/>
  <c r="AF67" i="3"/>
  <c r="AS67" i="3" s="1"/>
  <c r="BT67" i="3" s="1"/>
  <c r="AO8" i="7"/>
  <c r="AX13" i="7"/>
  <c r="X17" i="7"/>
  <c r="AF18" i="7"/>
  <c r="AO19" i="7"/>
  <c r="AG57" i="3"/>
  <c r="AT57" i="3" s="1"/>
  <c r="BU57" i="3" s="1"/>
  <c r="AG67" i="3"/>
  <c r="AT67" i="3" s="1"/>
  <c r="BU67" i="3" s="1"/>
  <c r="AP8" i="7"/>
  <c r="AY13" i="7"/>
  <c r="Y17" i="7"/>
  <c r="AI18" i="7"/>
  <c r="AP19" i="7"/>
  <c r="K13" i="7"/>
  <c r="AW15" i="7"/>
  <c r="V13" i="7"/>
  <c r="AK6" i="7"/>
  <c r="Y13" i="7"/>
  <c r="I17" i="7"/>
  <c r="K18" i="7"/>
  <c r="C66" i="3"/>
  <c r="E66" i="3" s="1"/>
  <c r="X55" i="3"/>
  <c r="AK55" i="3" s="1"/>
  <c r="BL55" i="3" s="1"/>
  <c r="AL13" i="7"/>
  <c r="N17" i="7"/>
  <c r="Q18" i="7"/>
  <c r="AH57" i="3"/>
  <c r="AU57" i="3" s="1"/>
  <c r="BV57" i="3" s="1"/>
  <c r="AF68" i="3"/>
  <c r="AS68" i="3" s="1"/>
  <c r="BT68" i="3" s="1"/>
  <c r="AZ13" i="7"/>
  <c r="Z17" i="7"/>
  <c r="AJ18" i="7"/>
  <c r="AR19" i="7"/>
  <c r="M13" i="7"/>
  <c r="U13" i="7"/>
  <c r="B17" i="7"/>
  <c r="BF17" i="7"/>
  <c r="AA17" i="7"/>
  <c r="BB18" i="7"/>
  <c r="AF58" i="3"/>
  <c r="AS58" i="3" s="1"/>
  <c r="BF58" i="3" s="1"/>
  <c r="AF70" i="3"/>
  <c r="AS70" i="3" s="1"/>
  <c r="BF70" i="3" s="1"/>
  <c r="AG10" i="7"/>
  <c r="Z14" i="7"/>
  <c r="AE17" i="7"/>
  <c r="BC18" i="7"/>
  <c r="B59" i="3"/>
  <c r="AB71" i="3"/>
  <c r="AO71" i="3" s="1"/>
  <c r="BP71" i="3" s="1"/>
  <c r="BD10" i="7"/>
  <c r="AR14" i="7"/>
  <c r="AI17" i="7"/>
  <c r="BD18" i="7"/>
  <c r="AC59" i="3"/>
  <c r="AP59" i="3" s="1"/>
  <c r="BQ59" i="3" s="1"/>
  <c r="AH71" i="3"/>
  <c r="AU71" i="3" s="1"/>
  <c r="BV71" i="3" s="1"/>
  <c r="AX14" i="7"/>
  <c r="AK17" i="7"/>
  <c r="BC19" i="7"/>
  <c r="AD59" i="3"/>
  <c r="AQ59" i="3" s="1"/>
  <c r="BD59" i="3" s="1"/>
  <c r="AY14" i="7"/>
  <c r="AL17" i="7"/>
  <c r="G19" i="7"/>
  <c r="BD19" i="7"/>
  <c r="AP9" i="7"/>
  <c r="G7" i="7"/>
  <c r="AR9" i="7"/>
  <c r="AD12" i="7"/>
  <c r="B4" i="4"/>
  <c r="Q7" i="7"/>
  <c r="AI7" i="7"/>
  <c r="Q10" i="7"/>
  <c r="R14" i="7"/>
  <c r="C53" i="3"/>
  <c r="E53" i="3" s="1"/>
  <c r="C57" i="3"/>
  <c r="E57" i="3" s="1"/>
  <c r="AE60" i="3"/>
  <c r="AR60" i="3" s="1"/>
  <c r="BS60" i="3" s="1"/>
  <c r="AH64" i="3"/>
  <c r="AU64" i="3" s="1"/>
  <c r="BV64" i="3" s="1"/>
  <c r="C69" i="3"/>
  <c r="E69" i="3" s="1"/>
  <c r="D22" i="4"/>
  <c r="AK7" i="7"/>
  <c r="R10" i="7"/>
  <c r="S14" i="7"/>
  <c r="F53" i="3"/>
  <c r="F57" i="3"/>
  <c r="F61" i="3"/>
  <c r="C65" i="3"/>
  <c r="E65" i="3" s="1"/>
  <c r="T69" i="3"/>
  <c r="D23" i="4"/>
  <c r="AN7" i="7"/>
  <c r="Y10" i="7"/>
  <c r="T14" i="7"/>
  <c r="AY15" i="7"/>
  <c r="X53" i="3"/>
  <c r="AK53" i="3" s="1"/>
  <c r="AX53" i="3" s="1"/>
  <c r="W57" i="3"/>
  <c r="AJ57" i="3" s="1"/>
  <c r="AW57" i="3" s="1"/>
  <c r="T61" i="3"/>
  <c r="AE65" i="3"/>
  <c r="AR65" i="3" s="1"/>
  <c r="BE65" i="3" s="1"/>
  <c r="X69" i="3"/>
  <c r="AK69" i="3" s="1"/>
  <c r="AX69" i="3" s="1"/>
  <c r="D31" i="4"/>
  <c r="E31" i="4" s="1"/>
  <c r="Z10" i="7"/>
  <c r="U14" i="7"/>
  <c r="AZ15" i="7"/>
  <c r="AK18" i="7"/>
  <c r="V19" i="7"/>
  <c r="Y53" i="3"/>
  <c r="AL53" i="3" s="1"/>
  <c r="BM53" i="3" s="1"/>
  <c r="AB57" i="3"/>
  <c r="AO57" i="3" s="1"/>
  <c r="BP57" i="3" s="1"/>
  <c r="V61" i="3"/>
  <c r="AI61" i="3" s="1"/>
  <c r="BJ61" i="3" s="1"/>
  <c r="AF65" i="3"/>
  <c r="AS65" i="3" s="1"/>
  <c r="BT65" i="3" s="1"/>
  <c r="Z69" i="3"/>
  <c r="AM69" i="3" s="1"/>
  <c r="AZ69" i="3" s="1"/>
  <c r="D35" i="4"/>
  <c r="G35" i="4" s="1"/>
  <c r="S8" i="7"/>
  <c r="AA10" i="7"/>
  <c r="V14" i="7"/>
  <c r="AN18" i="7"/>
  <c r="Y19" i="7"/>
  <c r="Z53" i="3"/>
  <c r="AM53" i="3" s="1"/>
  <c r="BN53" i="3" s="1"/>
  <c r="AF57" i="3"/>
  <c r="AS57" i="3" s="1"/>
  <c r="BT57" i="3" s="1"/>
  <c r="AA61" i="3"/>
  <c r="AN61" i="3" s="1"/>
  <c r="BA61" i="3" s="1"/>
  <c r="AG65" i="3"/>
  <c r="AT65" i="3" s="1"/>
  <c r="BU65" i="3" s="1"/>
  <c r="Y70" i="3"/>
  <c r="AL70" i="3" s="1"/>
  <c r="AY70" i="3" s="1"/>
  <c r="D37" i="4"/>
  <c r="G37" i="4" s="1"/>
  <c r="V8" i="7"/>
  <c r="AB10" i="7"/>
  <c r="Y14" i="7"/>
  <c r="AY17" i="7"/>
  <c r="AU18" i="7"/>
  <c r="Z19" i="7"/>
  <c r="AH10" i="7"/>
  <c r="AA14" i="7"/>
  <c r="W54" i="3"/>
  <c r="AJ54" i="3" s="1"/>
  <c r="BK54" i="3" s="1"/>
  <c r="C58" i="3"/>
  <c r="E58" i="3" s="1"/>
  <c r="AG61" i="3"/>
  <c r="AT61" i="3" s="1"/>
  <c r="BG61" i="3" s="1"/>
  <c r="X66" i="3"/>
  <c r="AK66" i="3" s="1"/>
  <c r="BL66" i="3" s="1"/>
  <c r="AG70" i="3"/>
  <c r="AT70" i="3" s="1"/>
  <c r="BU70" i="3" s="1"/>
  <c r="D47" i="4"/>
  <c r="E47" i="4" s="1"/>
  <c r="AI10" i="7"/>
  <c r="AD14" i="7"/>
  <c r="X54" i="3"/>
  <c r="AK54" i="3" s="1"/>
  <c r="BL54" i="3" s="1"/>
  <c r="F58" i="3"/>
  <c r="B62" i="3"/>
  <c r="AB66" i="3"/>
  <c r="AO66" i="3" s="1"/>
  <c r="BB66" i="3" s="1"/>
  <c r="AH70" i="3"/>
  <c r="AU70" i="3" s="1"/>
  <c r="BV70" i="3" s="1"/>
  <c r="AJ10" i="7"/>
  <c r="AM14" i="7"/>
  <c r="AI19" i="7"/>
  <c r="Y54" i="3"/>
  <c r="AL54" i="3" s="1"/>
  <c r="BM54" i="3" s="1"/>
  <c r="T58" i="3"/>
  <c r="C62" i="3"/>
  <c r="E62" i="3" s="1"/>
  <c r="AD66" i="3"/>
  <c r="AQ66" i="3" s="1"/>
  <c r="BR66" i="3" s="1"/>
  <c r="Y71" i="3"/>
  <c r="AL71" i="3" s="1"/>
  <c r="BM71" i="3" s="1"/>
  <c r="AK10" i="7"/>
  <c r="AN14" i="7"/>
  <c r="D18" i="7"/>
  <c r="B19" i="7"/>
  <c r="AJ19" i="7"/>
  <c r="AA54" i="3"/>
  <c r="AN54" i="3" s="1"/>
  <c r="BO54" i="3" s="1"/>
  <c r="AC58" i="3"/>
  <c r="AP58" i="3" s="1"/>
  <c r="BC58" i="3" s="1"/>
  <c r="T62" i="3"/>
  <c r="B67" i="3"/>
  <c r="Z71" i="3"/>
  <c r="AM71" i="3" s="1"/>
  <c r="BN71" i="3" s="1"/>
  <c r="BC8" i="7"/>
  <c r="BB10" i="7"/>
  <c r="AO14" i="7"/>
  <c r="G18" i="7"/>
  <c r="C19" i="7"/>
  <c r="AK19" i="7"/>
  <c r="V55" i="3"/>
  <c r="AI55" i="3" s="1"/>
  <c r="AV55" i="3" s="1"/>
  <c r="AD58" i="3"/>
  <c r="AQ58" i="3" s="1"/>
  <c r="BD58" i="3" s="1"/>
  <c r="Z62" i="3"/>
  <c r="AM62" i="3" s="1"/>
  <c r="AZ62" i="3" s="1"/>
  <c r="F67" i="3"/>
  <c r="AA71" i="3"/>
  <c r="AN71" i="3" s="1"/>
  <c r="BO71" i="3" s="1"/>
  <c r="AJ6" i="7"/>
  <c r="BD8" i="7"/>
  <c r="BC10" i="7"/>
  <c r="AP14" i="7"/>
  <c r="H18" i="7"/>
  <c r="D19" i="7"/>
  <c r="AL19" i="7"/>
  <c r="W9" i="7"/>
  <c r="AZ14" i="7"/>
  <c r="AJ12" i="7"/>
  <c r="F14" i="7"/>
  <c r="BC14" i="7"/>
  <c r="I22" i="1"/>
  <c r="Z52" i="3"/>
  <c r="AM52" i="3" s="1"/>
  <c r="BN52" i="3" s="1"/>
  <c r="AH55" i="3"/>
  <c r="AU55" i="3" s="1"/>
  <c r="BV55" i="3" s="1"/>
  <c r="AE59" i="3"/>
  <c r="AR59" i="3" s="1"/>
  <c r="BS59" i="3" s="1"/>
  <c r="F64" i="3"/>
  <c r="AH67" i="3"/>
  <c r="AU67" i="3" s="1"/>
  <c r="BV67" i="3" s="1"/>
  <c r="F4" i="4"/>
  <c r="U7" i="7"/>
  <c r="K10" i="7"/>
  <c r="AM12" i="7"/>
  <c r="G14" i="7"/>
  <c r="BD14" i="7"/>
  <c r="I23" i="1"/>
  <c r="AA52" i="3"/>
  <c r="AN52" i="3" s="1"/>
  <c r="BO52" i="3" s="1"/>
  <c r="B56" i="3"/>
  <c r="AF59" i="3"/>
  <c r="AS59" i="3" s="1"/>
  <c r="BF59" i="3" s="1"/>
  <c r="T64" i="3"/>
  <c r="B68" i="3"/>
  <c r="V7" i="7"/>
  <c r="L10" i="7"/>
  <c r="AN12" i="7"/>
  <c r="K14" i="7"/>
  <c r="I24" i="1"/>
  <c r="AB52" i="3"/>
  <c r="AO52" i="3" s="1"/>
  <c r="BP52" i="3" s="1"/>
  <c r="T56" i="3"/>
  <c r="X60" i="3"/>
  <c r="AK60" i="3" s="1"/>
  <c r="AX60" i="3" s="1"/>
  <c r="V64" i="3"/>
  <c r="AI64" i="3" s="1"/>
  <c r="BJ64" i="3" s="1"/>
  <c r="AB68" i="3"/>
  <c r="AO68" i="3" s="1"/>
  <c r="BB68" i="3" s="1"/>
  <c r="D11" i="4"/>
  <c r="AE7" i="7"/>
  <c r="M10" i="7"/>
  <c r="BC12" i="7"/>
  <c r="L14" i="7"/>
  <c r="AG15" i="7"/>
  <c r="AA18" i="7"/>
  <c r="P19" i="7"/>
  <c r="AZ19" i="7"/>
  <c r="AH52" i="3"/>
  <c r="AU52" i="3" s="1"/>
  <c r="BH52" i="3" s="1"/>
  <c r="AE56" i="3"/>
  <c r="AR56" i="3" s="1"/>
  <c r="BE56" i="3" s="1"/>
  <c r="AC60" i="3"/>
  <c r="AP60" i="3" s="1"/>
  <c r="BC60" i="3" s="1"/>
  <c r="Z64" i="3"/>
  <c r="AM64" i="3" s="1"/>
  <c r="BN64" i="3" s="1"/>
  <c r="AE68" i="3"/>
  <c r="AR68" i="3" s="1"/>
  <c r="BE68" i="3" s="1"/>
  <c r="AH7" i="7"/>
  <c r="N10" i="7"/>
  <c r="M14" i="7"/>
  <c r="AO15" i="7"/>
  <c r="AB18" i="7"/>
  <c r="Q19" i="7"/>
  <c r="BA19" i="7"/>
  <c r="Q7" i="5"/>
  <c r="Q16" i="7"/>
  <c r="R16" i="7"/>
  <c r="AO16" i="7"/>
  <c r="D15" i="7"/>
  <c r="E15" i="7"/>
  <c r="F15" i="7"/>
  <c r="L15" i="7"/>
  <c r="Y15" i="7"/>
  <c r="Z15" i="7"/>
  <c r="C15" i="7"/>
  <c r="AB15" i="7"/>
  <c r="T15" i="7"/>
  <c r="AE15" i="7"/>
  <c r="AF15" i="7"/>
  <c r="AH15" i="7"/>
  <c r="P15" i="7"/>
  <c r="S15" i="7"/>
  <c r="AJ15" i="7"/>
  <c r="K17" i="5"/>
  <c r="L19" i="5"/>
  <c r="P7" i="5"/>
  <c r="K19" i="5"/>
  <c r="L7" i="5"/>
  <c r="I19" i="5"/>
  <c r="K7" i="5"/>
  <c r="B21" i="3"/>
  <c r="C21" i="3" s="1"/>
  <c r="X17" i="5"/>
  <c r="O6" i="5"/>
  <c r="B18" i="3"/>
  <c r="C18" i="3" s="1"/>
  <c r="W17" i="5"/>
  <c r="N6" i="5"/>
  <c r="Q16" i="5"/>
  <c r="I16" i="5"/>
  <c r="H16" i="5"/>
  <c r="U15" i="5"/>
  <c r="I18" i="1"/>
  <c r="T15" i="5"/>
  <c r="S15" i="5"/>
  <c r="P13" i="5"/>
  <c r="N12" i="5"/>
  <c r="V11" i="5"/>
  <c r="U11" i="5"/>
  <c r="T11" i="5"/>
  <c r="X10" i="5"/>
  <c r="W10" i="5"/>
  <c r="T9" i="5"/>
  <c r="H9" i="5"/>
  <c r="U19" i="5"/>
  <c r="H8" i="5"/>
  <c r="N19" i="5"/>
  <c r="AU9" i="7"/>
  <c r="D9" i="7"/>
  <c r="AV9" i="7"/>
  <c r="E9" i="7"/>
  <c r="AW9" i="7"/>
  <c r="D6" i="7"/>
  <c r="F9" i="7"/>
  <c r="AX9" i="7"/>
  <c r="AA13" i="7"/>
  <c r="BA13" i="7"/>
  <c r="E6" i="7"/>
  <c r="G9" i="7"/>
  <c r="AY9" i="7"/>
  <c r="C13" i="7"/>
  <c r="AB13" i="7"/>
  <c r="BB13" i="7"/>
  <c r="K6" i="7"/>
  <c r="K9" i="7"/>
  <c r="BA9" i="7"/>
  <c r="D13" i="7"/>
  <c r="AD13" i="7"/>
  <c r="BC13" i="7"/>
  <c r="P6" i="7"/>
  <c r="L9" i="7"/>
  <c r="BD9" i="7"/>
  <c r="E13" i="7"/>
  <c r="AE13" i="7"/>
  <c r="BD13" i="7"/>
  <c r="Q6" i="7"/>
  <c r="AV7" i="7"/>
  <c r="M9" i="7"/>
  <c r="AS10" i="7"/>
  <c r="F13" i="7"/>
  <c r="AF13" i="7"/>
  <c r="AG14" i="7"/>
  <c r="R6" i="7"/>
  <c r="AW7" i="7"/>
  <c r="S9" i="7"/>
  <c r="B10" i="7"/>
  <c r="AV10" i="7"/>
  <c r="G13" i="7"/>
  <c r="AG13" i="7"/>
  <c r="B14" i="7"/>
  <c r="AI14" i="7"/>
  <c r="AA6" i="7"/>
  <c r="AX7" i="7"/>
  <c r="T9" i="7"/>
  <c r="C10" i="7"/>
  <c r="AX10" i="7"/>
  <c r="H13" i="7"/>
  <c r="AH13" i="7"/>
  <c r="C14" i="7"/>
  <c r="AJ14" i="7"/>
  <c r="AB6" i="7"/>
  <c r="U9" i="7"/>
  <c r="D10" i="7"/>
  <c r="AY10" i="7"/>
  <c r="I13" i="7"/>
  <c r="AI13" i="7"/>
  <c r="D14" i="7"/>
  <c r="AK14" i="7"/>
  <c r="AE6" i="7"/>
  <c r="M8" i="7"/>
  <c r="V9" i="7"/>
  <c r="G10" i="7"/>
  <c r="BA10" i="7"/>
  <c r="J13" i="7"/>
  <c r="AJ13" i="7"/>
  <c r="E14" i="7"/>
  <c r="AL14" i="7"/>
  <c r="Y9" i="7"/>
  <c r="AA9" i="7"/>
  <c r="AW6" i="7"/>
  <c r="AB9" i="7"/>
  <c r="N13" i="7"/>
  <c r="AN13" i="7"/>
  <c r="AD9" i="7"/>
  <c r="AO11" i="7"/>
  <c r="P13" i="7"/>
  <c r="AO13" i="7"/>
  <c r="AL9" i="7"/>
  <c r="Q13" i="7"/>
  <c r="AP13" i="7"/>
  <c r="N14" i="7"/>
  <c r="AS14" i="7"/>
  <c r="P18" i="5"/>
  <c r="E7" i="7"/>
  <c r="AM9" i="7"/>
  <c r="U10" i="7"/>
  <c r="N12" i="7"/>
  <c r="R13" i="7"/>
  <c r="AR13" i="7"/>
  <c r="P14" i="7"/>
  <c r="AT14" i="7"/>
  <c r="AN9" i="7"/>
  <c r="S13" i="7"/>
  <c r="AU13" i="7"/>
  <c r="Q14" i="7"/>
  <c r="B13" i="1"/>
  <c r="B9" i="3" s="1"/>
  <c r="B16" i="1"/>
  <c r="B16" i="3" s="1"/>
  <c r="I51" i="3" s="1"/>
  <c r="F29" i="3"/>
  <c r="CK29" i="3" s="1"/>
  <c r="D29" i="3"/>
  <c r="C29" i="3"/>
  <c r="E29" i="3"/>
  <c r="M7" i="5"/>
  <c r="V15" i="5"/>
  <c r="B11" i="7"/>
  <c r="U7" i="5"/>
  <c r="J16" i="5"/>
  <c r="AV16" i="7"/>
  <c r="Z16" i="7"/>
  <c r="D16" i="7"/>
  <c r="AU16" i="7"/>
  <c r="Y16" i="7"/>
  <c r="C16" i="7"/>
  <c r="AL16" i="7"/>
  <c r="N16" i="7"/>
  <c r="BB16" i="7"/>
  <c r="AD16" i="7"/>
  <c r="F16" i="7"/>
  <c r="BA16" i="7"/>
  <c r="E16" i="7"/>
  <c r="AI16" i="7"/>
  <c r="H16" i="7"/>
  <c r="AZ16" i="7"/>
  <c r="W16" i="7"/>
  <c r="AS16" i="7"/>
  <c r="P16" i="7"/>
  <c r="AR16" i="7"/>
  <c r="AG16" i="7"/>
  <c r="AF16" i="7"/>
  <c r="AE16" i="7"/>
  <c r="BD16" i="7"/>
  <c r="T16" i="7"/>
  <c r="BC16" i="7"/>
  <c r="S16" i="7"/>
  <c r="AH16" i="7"/>
  <c r="AB16" i="7"/>
  <c r="AA16" i="7"/>
  <c r="M16" i="7"/>
  <c r="L16" i="7"/>
  <c r="K16" i="7"/>
  <c r="AN16" i="7"/>
  <c r="AM16" i="7"/>
  <c r="AY16" i="7"/>
  <c r="AX16" i="7"/>
  <c r="AK16" i="7"/>
  <c r="V16" i="7"/>
  <c r="U16" i="7"/>
  <c r="AJ16" i="7"/>
  <c r="X16" i="7"/>
  <c r="BT70" i="3"/>
  <c r="G11" i="5"/>
  <c r="Q19" i="5"/>
  <c r="AZ11" i="7"/>
  <c r="AD11" i="7"/>
  <c r="H11" i="7"/>
  <c r="AN11" i="7"/>
  <c r="Q11" i="7"/>
  <c r="BC11" i="7"/>
  <c r="AF11" i="7"/>
  <c r="I11" i="7"/>
  <c r="BB11" i="7"/>
  <c r="AE11" i="7"/>
  <c r="G11" i="7"/>
  <c r="BA11" i="7"/>
  <c r="Z11" i="7"/>
  <c r="AR11" i="7"/>
  <c r="R11" i="7"/>
  <c r="AU11" i="7"/>
  <c r="S11" i="7"/>
  <c r="AT11" i="7"/>
  <c r="P11" i="7"/>
  <c r="AW11" i="7"/>
  <c r="AV11" i="7"/>
  <c r="N11" i="7"/>
  <c r="AS11" i="7"/>
  <c r="M11" i="7"/>
  <c r="AK11" i="7"/>
  <c r="D11" i="7"/>
  <c r="AJ11" i="7"/>
  <c r="C11" i="7"/>
  <c r="AM11" i="7"/>
  <c r="AL11" i="7"/>
  <c r="AI11" i="7"/>
  <c r="Y11" i="7"/>
  <c r="X11" i="7"/>
  <c r="W11" i="7"/>
  <c r="K11" i="7"/>
  <c r="AY11" i="7"/>
  <c r="AX11" i="7"/>
  <c r="BD11" i="7"/>
  <c r="AB11" i="7"/>
  <c r="T11" i="7"/>
  <c r="AA11" i="7"/>
  <c r="V11" i="7"/>
  <c r="U11" i="7"/>
  <c r="F11" i="7"/>
  <c r="BW29" i="3"/>
  <c r="L8" i="5"/>
  <c r="O12" i="5"/>
  <c r="R16" i="5"/>
  <c r="J11" i="7"/>
  <c r="M8" i="5"/>
  <c r="P12" i="5"/>
  <c r="T16" i="5"/>
  <c r="L11" i="7"/>
  <c r="B16" i="7"/>
  <c r="H43" i="3"/>
  <c r="V8" i="5"/>
  <c r="W12" i="5"/>
  <c r="G16" i="7"/>
  <c r="C30" i="3"/>
  <c r="E30" i="3"/>
  <c r="D30" i="3"/>
  <c r="W8" i="5"/>
  <c r="AG11" i="7"/>
  <c r="I16" i="7"/>
  <c r="G5" i="3"/>
  <c r="G4" i="3"/>
  <c r="F30" i="3"/>
  <c r="CK30" i="3" s="1"/>
  <c r="H44" i="3"/>
  <c r="BP63" i="3"/>
  <c r="BB63" i="3"/>
  <c r="X8" i="5"/>
  <c r="N13" i="5"/>
  <c r="AH11" i="7"/>
  <c r="J16" i="7"/>
  <c r="BC63" i="3"/>
  <c r="BQ63" i="3"/>
  <c r="V13" i="5"/>
  <c r="AP11" i="7"/>
  <c r="I16" i="1"/>
  <c r="F47" i="4"/>
  <c r="G47" i="4"/>
  <c r="I14" i="5"/>
  <c r="N18" i="5"/>
  <c r="AL12" i="7"/>
  <c r="P12" i="7"/>
  <c r="AK12" i="7"/>
  <c r="BA12" i="7"/>
  <c r="E12" i="7"/>
  <c r="AS12" i="7"/>
  <c r="U12" i="7"/>
  <c r="AR12" i="7"/>
  <c r="T12" i="7"/>
  <c r="AY12" i="7"/>
  <c r="X12" i="7"/>
  <c r="AO12" i="7"/>
  <c r="L12" i="7"/>
  <c r="AX12" i="7"/>
  <c r="S12" i="7"/>
  <c r="AW12" i="7"/>
  <c r="R12" i="7"/>
  <c r="Z12" i="7"/>
  <c r="Y12" i="7"/>
  <c r="BD12" i="7"/>
  <c r="W12" i="7"/>
  <c r="AT12" i="7"/>
  <c r="J12" i="7"/>
  <c r="I12" i="7"/>
  <c r="AB12" i="7"/>
  <c r="AA12" i="7"/>
  <c r="V12" i="7"/>
  <c r="BB12" i="7"/>
  <c r="G12" i="7"/>
  <c r="AZ12" i="7"/>
  <c r="F12" i="7"/>
  <c r="AV12" i="7"/>
  <c r="D12" i="7"/>
  <c r="K12" i="7"/>
  <c r="AU12" i="7"/>
  <c r="AP12" i="7"/>
  <c r="AI12" i="7"/>
  <c r="AG12" i="7"/>
  <c r="AF12" i="7"/>
  <c r="AE12" i="7"/>
  <c r="AH12" i="7"/>
  <c r="J14" i="5"/>
  <c r="B12" i="7"/>
  <c r="P19" i="5"/>
  <c r="O18" i="5"/>
  <c r="N17" i="5"/>
  <c r="M16" i="5"/>
  <c r="L15" i="5"/>
  <c r="K14" i="5"/>
  <c r="J13" i="5"/>
  <c r="I12" i="5"/>
  <c r="H11" i="5"/>
  <c r="G10" i="5"/>
  <c r="J19" i="5"/>
  <c r="H18" i="5"/>
  <c r="W14" i="5"/>
  <c r="U13" i="5"/>
  <c r="S12" i="5"/>
  <c r="Q11" i="5"/>
  <c r="O10" i="5"/>
  <c r="M9" i="5"/>
  <c r="K8" i="5"/>
  <c r="I7" i="5"/>
  <c r="G6" i="5"/>
  <c r="W18" i="5"/>
  <c r="U17" i="5"/>
  <c r="S16" i="5"/>
  <c r="Q15" i="5"/>
  <c r="O14" i="5"/>
  <c r="M13" i="5"/>
  <c r="K12" i="5"/>
  <c r="I11" i="5"/>
  <c r="W7" i="5"/>
  <c r="U6" i="5"/>
  <c r="X19" i="5"/>
  <c r="T18" i="5"/>
  <c r="P17" i="5"/>
  <c r="K16" i="5"/>
  <c r="G15" i="5"/>
  <c r="X13" i="5"/>
  <c r="T12" i="5"/>
  <c r="O11" i="5"/>
  <c r="K10" i="5"/>
  <c r="G9" i="5"/>
  <c r="V7" i="5"/>
  <c r="R6" i="5"/>
  <c r="O19" i="5"/>
  <c r="K18" i="5"/>
  <c r="G17" i="5"/>
  <c r="W15" i="5"/>
  <c r="S14" i="5"/>
  <c r="O13" i="5"/>
  <c r="J12" i="5"/>
  <c r="V9" i="5"/>
  <c r="R8" i="5"/>
  <c r="N7" i="5"/>
  <c r="J6" i="5"/>
  <c r="B23" i="3"/>
  <c r="M19" i="5"/>
  <c r="U16" i="5"/>
  <c r="N15" i="5"/>
  <c r="G14" i="5"/>
  <c r="V12" i="5"/>
  <c r="N11" i="5"/>
  <c r="H10" i="5"/>
  <c r="U8" i="5"/>
  <c r="O7" i="5"/>
  <c r="H6" i="5"/>
  <c r="T19" i="5"/>
  <c r="L18" i="5"/>
  <c r="X16" i="5"/>
  <c r="P15" i="5"/>
  <c r="H14" i="5"/>
  <c r="U12" i="5"/>
  <c r="L11" i="5"/>
  <c r="X9" i="5"/>
  <c r="P8" i="5"/>
  <c r="H7" i="5"/>
  <c r="S19" i="5"/>
  <c r="J18" i="5"/>
  <c r="W16" i="5"/>
  <c r="O15" i="5"/>
  <c r="R12" i="5"/>
  <c r="K11" i="5"/>
  <c r="W9" i="5"/>
  <c r="O8" i="5"/>
  <c r="G7" i="5"/>
  <c r="R19" i="5"/>
  <c r="I18" i="5"/>
  <c r="V16" i="5"/>
  <c r="M15" i="5"/>
  <c r="Q12" i="5"/>
  <c r="J11" i="5"/>
  <c r="U9" i="5"/>
  <c r="N8" i="5"/>
  <c r="H19" i="5"/>
  <c r="V17" i="5"/>
  <c r="N16" i="5"/>
  <c r="R13" i="5"/>
  <c r="H12" i="5"/>
  <c r="V10" i="5"/>
  <c r="O9" i="5"/>
  <c r="G8" i="5"/>
  <c r="S6" i="5"/>
  <c r="B20" i="3"/>
  <c r="B19" i="3"/>
  <c r="X18" i="5"/>
  <c r="J17" i="5"/>
  <c r="R15" i="5"/>
  <c r="T13" i="5"/>
  <c r="N10" i="5"/>
  <c r="T8" i="5"/>
  <c r="X6" i="5"/>
  <c r="V18" i="5"/>
  <c r="I17" i="5"/>
  <c r="K15" i="5"/>
  <c r="S13" i="5"/>
  <c r="M10" i="5"/>
  <c r="S8" i="5"/>
  <c r="W6" i="5"/>
  <c r="B22" i="3"/>
  <c r="U18" i="5"/>
  <c r="H17" i="5"/>
  <c r="J15" i="5"/>
  <c r="Q13" i="5"/>
  <c r="X11" i="5"/>
  <c r="L10" i="5"/>
  <c r="Q8" i="5"/>
  <c r="M18" i="5"/>
  <c r="P16" i="5"/>
  <c r="V14" i="5"/>
  <c r="H13" i="5"/>
  <c r="R11" i="5"/>
  <c r="S9" i="5"/>
  <c r="M6" i="5"/>
  <c r="B25" i="3"/>
  <c r="G18" i="5"/>
  <c r="O16" i="5"/>
  <c r="U14" i="5"/>
  <c r="G13" i="5"/>
  <c r="P11" i="5"/>
  <c r="R9" i="5"/>
  <c r="L6" i="5"/>
  <c r="W19" i="5"/>
  <c r="L16" i="5"/>
  <c r="T14" i="5"/>
  <c r="M11" i="5"/>
  <c r="Q9" i="5"/>
  <c r="X7" i="5"/>
  <c r="K6" i="5"/>
  <c r="Q18" i="5"/>
  <c r="G16" i="5"/>
  <c r="W13" i="5"/>
  <c r="S11" i="5"/>
  <c r="I9" i="5"/>
  <c r="V6" i="5"/>
  <c r="R17" i="5"/>
  <c r="I15" i="5"/>
  <c r="S10" i="5"/>
  <c r="J8" i="5"/>
  <c r="I21" i="1"/>
  <c r="V19" i="5"/>
  <c r="Q17" i="5"/>
  <c r="H15" i="5"/>
  <c r="X12" i="5"/>
  <c r="R10" i="5"/>
  <c r="I8" i="5"/>
  <c r="B24" i="3"/>
  <c r="L13" i="5"/>
  <c r="T10" i="5"/>
  <c r="T7" i="5"/>
  <c r="S18" i="5"/>
  <c r="K13" i="5"/>
  <c r="Q10" i="5"/>
  <c r="S7" i="5"/>
  <c r="R18" i="5"/>
  <c r="X15" i="5"/>
  <c r="I13" i="5"/>
  <c r="P10" i="5"/>
  <c r="R7" i="5"/>
  <c r="B27" i="3"/>
  <c r="T17" i="5"/>
  <c r="M12" i="5"/>
  <c r="P9" i="5"/>
  <c r="J7" i="5"/>
  <c r="O17" i="5"/>
  <c r="L9" i="5"/>
  <c r="Q14" i="5"/>
  <c r="Q6" i="5"/>
  <c r="P14" i="5"/>
  <c r="J9" i="5"/>
  <c r="S17" i="5"/>
  <c r="X14" i="5"/>
  <c r="L12" i="5"/>
  <c r="N9" i="5"/>
  <c r="R14" i="5"/>
  <c r="G12" i="5"/>
  <c r="T6" i="5"/>
  <c r="B28" i="3"/>
  <c r="M17" i="5"/>
  <c r="K9" i="5"/>
  <c r="I20" i="1"/>
  <c r="L17" i="5"/>
  <c r="W11" i="5"/>
  <c r="P6" i="5"/>
  <c r="B14" i="3"/>
  <c r="I10" i="5"/>
  <c r="L14" i="5"/>
  <c r="C12" i="7"/>
  <c r="AT16" i="7"/>
  <c r="I19" i="1"/>
  <c r="J10" i="5"/>
  <c r="M14" i="5"/>
  <c r="H12" i="7"/>
  <c r="AW16" i="7"/>
  <c r="B26" i="3"/>
  <c r="BT61" i="3"/>
  <c r="BD63" i="3"/>
  <c r="I6" i="5"/>
  <c r="U10" i="5"/>
  <c r="N14" i="5"/>
  <c r="G19" i="5"/>
  <c r="M12" i="7"/>
  <c r="AX8" i="7"/>
  <c r="AB8" i="7"/>
  <c r="F8" i="7"/>
  <c r="BA8" i="7"/>
  <c r="AD8" i="7"/>
  <c r="G8" i="7"/>
  <c r="AR8" i="7"/>
  <c r="U8" i="7"/>
  <c r="T8" i="7"/>
  <c r="AN8" i="7"/>
  <c r="N8" i="7"/>
  <c r="AF8" i="7"/>
  <c r="D8" i="7"/>
  <c r="AT8" i="7"/>
  <c r="P8" i="7"/>
  <c r="AS8" i="7"/>
  <c r="AA8" i="7"/>
  <c r="Z8" i="7"/>
  <c r="AY8" i="7"/>
  <c r="R8" i="7"/>
  <c r="AW8" i="7"/>
  <c r="Q8" i="7"/>
  <c r="BB8" i="7"/>
  <c r="K8" i="7"/>
  <c r="AZ8" i="7"/>
  <c r="J8" i="7"/>
  <c r="AV8" i="7"/>
  <c r="I8" i="7"/>
  <c r="AK8" i="7"/>
  <c r="AJ8" i="7"/>
  <c r="AI8" i="7"/>
  <c r="C8" i="7"/>
  <c r="AL8" i="7"/>
  <c r="AH8" i="7"/>
  <c r="B71" i="3"/>
  <c r="AE70" i="3"/>
  <c r="AR70" i="3" s="1"/>
  <c r="Y69" i="3"/>
  <c r="AL69" i="3" s="1"/>
  <c r="F68" i="3"/>
  <c r="AC66" i="3"/>
  <c r="AP66" i="3" s="1"/>
  <c r="W65" i="3"/>
  <c r="AJ65" i="3" s="1"/>
  <c r="AG63" i="3"/>
  <c r="AT63" i="3" s="1"/>
  <c r="D44" i="4"/>
  <c r="AD71" i="3"/>
  <c r="AQ71" i="3" s="1"/>
  <c r="Z68" i="3"/>
  <c r="AM68" i="3" s="1"/>
  <c r="AE66" i="3"/>
  <c r="AR66" i="3" s="1"/>
  <c r="Z63" i="3"/>
  <c r="AM63" i="3" s="1"/>
  <c r="AH61" i="3"/>
  <c r="AU61" i="3" s="1"/>
  <c r="AB60" i="3"/>
  <c r="AO60" i="3" s="1"/>
  <c r="D36" i="4"/>
  <c r="D10" i="4"/>
  <c r="V71" i="3"/>
  <c r="AI71" i="3" s="1"/>
  <c r="AA69" i="3"/>
  <c r="AN69" i="3" s="1"/>
  <c r="AE67" i="3"/>
  <c r="AR67" i="3" s="1"/>
  <c r="V66" i="3"/>
  <c r="AI66" i="3" s="1"/>
  <c r="AA64" i="3"/>
  <c r="AN64" i="3" s="1"/>
  <c r="AF62" i="3"/>
  <c r="AS62" i="3" s="1"/>
  <c r="Z61" i="3"/>
  <c r="AM61" i="3" s="1"/>
  <c r="D40" i="4"/>
  <c r="D21" i="4"/>
  <c r="F71" i="3"/>
  <c r="AB70" i="3"/>
  <c r="AO70" i="3" s="1"/>
  <c r="V68" i="3"/>
  <c r="AI68" i="3" s="1"/>
  <c r="AD67" i="3"/>
  <c r="AQ67" i="3" s="1"/>
  <c r="B66" i="3"/>
  <c r="Y65" i="3"/>
  <c r="AL65" i="3" s="1"/>
  <c r="AG64" i="3"/>
  <c r="AT64" i="3" s="1"/>
  <c r="AA62" i="3"/>
  <c r="AN62" i="3" s="1"/>
  <c r="B61" i="3"/>
  <c r="Z60" i="3"/>
  <c r="AM60" i="3" s="1"/>
  <c r="T59" i="3"/>
  <c r="AD57" i="3"/>
  <c r="AQ57" i="3" s="1"/>
  <c r="X56" i="3"/>
  <c r="AK56" i="3" s="1"/>
  <c r="AH54" i="3"/>
  <c r="AU54" i="3" s="1"/>
  <c r="AB53" i="3"/>
  <c r="AO53" i="3" s="1"/>
  <c r="V52" i="3"/>
  <c r="AI52" i="3" s="1"/>
  <c r="D25" i="4"/>
  <c r="D19" i="4"/>
  <c r="D14" i="4"/>
  <c r="D9" i="4"/>
  <c r="F70" i="3"/>
  <c r="AC69" i="3"/>
  <c r="AP69" i="3" s="1"/>
  <c r="V67" i="3"/>
  <c r="AI67" i="3" s="1"/>
  <c r="AF66" i="3"/>
  <c r="AS66" i="3" s="1"/>
  <c r="B65" i="3"/>
  <c r="X64" i="3"/>
  <c r="AK64" i="3" s="1"/>
  <c r="AH63" i="3"/>
  <c r="AU63" i="3" s="1"/>
  <c r="F62" i="3"/>
  <c r="AD61" i="3"/>
  <c r="AQ61" i="3" s="1"/>
  <c r="AH59" i="3"/>
  <c r="AU59" i="3" s="1"/>
  <c r="AB58" i="3"/>
  <c r="AO58" i="3" s="1"/>
  <c r="V57" i="3"/>
  <c r="AI57" i="3" s="1"/>
  <c r="C56" i="3"/>
  <c r="AF55" i="3"/>
  <c r="AS55" i="3" s="1"/>
  <c r="Z54" i="3"/>
  <c r="AM54" i="3" s="1"/>
  <c r="T53" i="3"/>
  <c r="D29" i="4"/>
  <c r="B70" i="3"/>
  <c r="F69" i="3"/>
  <c r="X68" i="3"/>
  <c r="AK68" i="3" s="1"/>
  <c r="AA67" i="3"/>
  <c r="AN67" i="3" s="1"/>
  <c r="AG66" i="3"/>
  <c r="AT66" i="3" s="1"/>
  <c r="C63" i="3"/>
  <c r="V62" i="3"/>
  <c r="AI62" i="3" s="1"/>
  <c r="AB61" i="3"/>
  <c r="AO61" i="3" s="1"/>
  <c r="V59" i="3"/>
  <c r="AI59" i="3" s="1"/>
  <c r="AG58" i="3"/>
  <c r="AT58" i="3" s="1"/>
  <c r="T57" i="3"/>
  <c r="AF56" i="3"/>
  <c r="AS56" i="3" s="1"/>
  <c r="T55" i="3"/>
  <c r="AE54" i="3"/>
  <c r="AR54" i="3" s="1"/>
  <c r="AD52" i="3"/>
  <c r="AQ52" i="3" s="1"/>
  <c r="D48" i="4"/>
  <c r="D26" i="4"/>
  <c r="W70" i="3"/>
  <c r="AJ70" i="3" s="1"/>
  <c r="W69" i="3"/>
  <c r="AJ69" i="3" s="1"/>
  <c r="AA68" i="3"/>
  <c r="AN68" i="3" s="1"/>
  <c r="Z67" i="3"/>
  <c r="AM67" i="3" s="1"/>
  <c r="AA66" i="3"/>
  <c r="AN66" i="3" s="1"/>
  <c r="AD65" i="3"/>
  <c r="AQ65" i="3" s="1"/>
  <c r="AE64" i="3"/>
  <c r="AR64" i="3" s="1"/>
  <c r="AF63" i="3"/>
  <c r="AS63" i="3" s="1"/>
  <c r="C60" i="3"/>
  <c r="Z59" i="3"/>
  <c r="AM59" i="3" s="1"/>
  <c r="AB56" i="3"/>
  <c r="AO56" i="3" s="1"/>
  <c r="AE53" i="3"/>
  <c r="AR53" i="3" s="1"/>
  <c r="B52" i="3"/>
  <c r="F3" i="4"/>
  <c r="T71" i="3"/>
  <c r="V70" i="3"/>
  <c r="AI70" i="3" s="1"/>
  <c r="V69" i="3"/>
  <c r="AI69" i="3" s="1"/>
  <c r="Y68" i="3"/>
  <c r="AL68" i="3" s="1"/>
  <c r="Y67" i="3"/>
  <c r="AL67" i="3" s="1"/>
  <c r="Z66" i="3"/>
  <c r="AM66" i="3" s="1"/>
  <c r="AC65" i="3"/>
  <c r="AP65" i="3" s="1"/>
  <c r="AD64" i="3"/>
  <c r="AQ64" i="3" s="1"/>
  <c r="AE63" i="3"/>
  <c r="AR63" i="3" s="1"/>
  <c r="AH62" i="3"/>
  <c r="AU62" i="3" s="1"/>
  <c r="B60" i="3"/>
  <c r="Y59" i="3"/>
  <c r="AL59" i="3" s="1"/>
  <c r="AH58" i="3"/>
  <c r="AU58" i="3" s="1"/>
  <c r="AA56" i="3"/>
  <c r="AN56" i="3" s="1"/>
  <c r="T54" i="3"/>
  <c r="AD53" i="3"/>
  <c r="AQ53" i="3" s="1"/>
  <c r="D33" i="4"/>
  <c r="D13" i="4"/>
  <c r="T70" i="3"/>
  <c r="W68" i="3"/>
  <c r="AJ68" i="3" s="1"/>
  <c r="X67" i="3"/>
  <c r="AK67" i="3" s="1"/>
  <c r="Y66" i="3"/>
  <c r="AL66" i="3" s="1"/>
  <c r="AB65" i="3"/>
  <c r="AO65" i="3" s="1"/>
  <c r="C67" i="3"/>
  <c r="F65" i="3"/>
  <c r="W63" i="3"/>
  <c r="AJ63" i="3" s="1"/>
  <c r="Y62" i="3"/>
  <c r="AL62" i="3" s="1"/>
  <c r="AC61" i="3"/>
  <c r="AP61" i="3" s="1"/>
  <c r="AG60" i="3"/>
  <c r="AT60" i="3" s="1"/>
  <c r="C59" i="3"/>
  <c r="Y58" i="3"/>
  <c r="AL58" i="3" s="1"/>
  <c r="F56" i="3"/>
  <c r="AB55" i="3"/>
  <c r="AO55" i="3" s="1"/>
  <c r="V53" i="3"/>
  <c r="AI53" i="3" s="1"/>
  <c r="AE52" i="3"/>
  <c r="AR52" i="3" s="1"/>
  <c r="D28" i="4"/>
  <c r="D12" i="4"/>
  <c r="AF71" i="3"/>
  <c r="AS71" i="3" s="1"/>
  <c r="X70" i="3"/>
  <c r="AK70" i="3" s="1"/>
  <c r="AH68" i="3"/>
  <c r="AU68" i="3" s="1"/>
  <c r="Y64" i="3"/>
  <c r="AL64" i="3" s="1"/>
  <c r="F63" i="3"/>
  <c r="AH60" i="3"/>
  <c r="AU60" i="3" s="1"/>
  <c r="C52" i="3"/>
  <c r="D45" i="4"/>
  <c r="AE71" i="3"/>
  <c r="AR71" i="3" s="1"/>
  <c r="AG68" i="3"/>
  <c r="AT68" i="3" s="1"/>
  <c r="T67" i="3"/>
  <c r="AH65" i="3"/>
  <c r="AU65" i="3" s="1"/>
  <c r="W64" i="3"/>
  <c r="AJ64" i="3" s="1"/>
  <c r="B63" i="3"/>
  <c r="AF60" i="3"/>
  <c r="AS60" i="3" s="1"/>
  <c r="AG59" i="3"/>
  <c r="AT59" i="3" s="1"/>
  <c r="D34" i="4"/>
  <c r="D24" i="4"/>
  <c r="W71" i="3"/>
  <c r="AJ71" i="3" s="1"/>
  <c r="AG69" i="3"/>
  <c r="AT69" i="3" s="1"/>
  <c r="T68" i="3"/>
  <c r="V65" i="3"/>
  <c r="AI65" i="3" s="1"/>
  <c r="AE62" i="3"/>
  <c r="AR62" i="3" s="1"/>
  <c r="Y61" i="3"/>
  <c r="AL61" i="3" s="1"/>
  <c r="W60" i="3"/>
  <c r="AJ60" i="3" s="1"/>
  <c r="X59" i="3"/>
  <c r="AK59" i="3" s="1"/>
  <c r="X58" i="3"/>
  <c r="AK58" i="3" s="1"/>
  <c r="AA57" i="3"/>
  <c r="AN57" i="3" s="1"/>
  <c r="AC56" i="3"/>
  <c r="AP56" i="3" s="1"/>
  <c r="AC55" i="3"/>
  <c r="AP55" i="3" s="1"/>
  <c r="AD54" i="3"/>
  <c r="AQ54" i="3" s="1"/>
  <c r="AG53" i="3"/>
  <c r="AT53" i="3" s="1"/>
  <c r="AG52" i="3"/>
  <c r="AT52" i="3" s="1"/>
  <c r="D42" i="4"/>
  <c r="D16" i="4"/>
  <c r="AF69" i="3"/>
  <c r="AS69" i="3" s="1"/>
  <c r="T65" i="3"/>
  <c r="AD62" i="3"/>
  <c r="AQ62" i="3" s="1"/>
  <c r="X61" i="3"/>
  <c r="AK61" i="3" s="1"/>
  <c r="V60" i="3"/>
  <c r="AI60" i="3" s="1"/>
  <c r="W59" i="3"/>
  <c r="AJ59" i="3" s="1"/>
  <c r="W58" i="3"/>
  <c r="AJ58" i="3" s="1"/>
  <c r="Z57" i="3"/>
  <c r="AM57" i="3" s="1"/>
  <c r="Z56" i="3"/>
  <c r="AM56" i="3" s="1"/>
  <c r="AA55" i="3"/>
  <c r="AN55" i="3" s="1"/>
  <c r="AC54" i="3"/>
  <c r="AP54" i="3" s="1"/>
  <c r="AF53" i="3"/>
  <c r="AS53" i="3" s="1"/>
  <c r="AF52" i="3"/>
  <c r="AS52" i="3" s="1"/>
  <c r="D32" i="4"/>
  <c r="C71" i="3"/>
  <c r="AE69" i="3"/>
  <c r="AR69" i="3" s="1"/>
  <c r="C68" i="3"/>
  <c r="AH66" i="3"/>
  <c r="AU66" i="3" s="1"/>
  <c r="AC62" i="3"/>
  <c r="AP62" i="3" s="1"/>
  <c r="W61" i="3"/>
  <c r="AJ61" i="3" s="1"/>
  <c r="V58" i="3"/>
  <c r="AI58" i="3" s="1"/>
  <c r="Y57" i="3"/>
  <c r="AL57" i="3" s="1"/>
  <c r="Y56" i="3"/>
  <c r="AL56" i="3" s="1"/>
  <c r="Z55" i="3"/>
  <c r="AM55" i="3" s="1"/>
  <c r="AB54" i="3"/>
  <c r="AO54" i="3" s="1"/>
  <c r="AC53" i="3"/>
  <c r="AP53" i="3" s="1"/>
  <c r="AC52" i="3"/>
  <c r="AP52" i="3" s="1"/>
  <c r="D30" i="4"/>
  <c r="D20" i="4"/>
  <c r="C70" i="3"/>
  <c r="AD69" i="3"/>
  <c r="AQ69" i="3" s="1"/>
  <c r="W66" i="3"/>
  <c r="AJ66" i="3" s="1"/>
  <c r="Y63" i="3"/>
  <c r="AL63" i="3" s="1"/>
  <c r="X57" i="3"/>
  <c r="AK57" i="3" s="1"/>
  <c r="AE55" i="3"/>
  <c r="AR55" i="3" s="1"/>
  <c r="C54" i="3"/>
  <c r="D38" i="4"/>
  <c r="D27" i="4"/>
  <c r="AG71" i="3"/>
  <c r="AT71" i="3" s="1"/>
  <c r="B69" i="3"/>
  <c r="AD68" i="3"/>
  <c r="AQ68" i="3" s="1"/>
  <c r="X65" i="3"/>
  <c r="AK65" i="3" s="1"/>
  <c r="X62" i="3"/>
  <c r="AK62" i="3" s="1"/>
  <c r="T60" i="3"/>
  <c r="AA58" i="3"/>
  <c r="AN58" i="3" s="1"/>
  <c r="AH56" i="3"/>
  <c r="AU56" i="3" s="1"/>
  <c r="W53" i="3"/>
  <c r="AJ53" i="3" s="1"/>
  <c r="AC71" i="3"/>
  <c r="AP71" i="3" s="1"/>
  <c r="AC68" i="3"/>
  <c r="AP68" i="3" s="1"/>
  <c r="W62" i="3"/>
  <c r="AJ62" i="3" s="1"/>
  <c r="F60" i="3"/>
  <c r="Z58" i="3"/>
  <c r="AM58" i="3" s="1"/>
  <c r="AG56" i="3"/>
  <c r="AT56" i="3" s="1"/>
  <c r="C55" i="3"/>
  <c r="B54" i="3"/>
  <c r="Z70" i="3"/>
  <c r="AM70" i="3" s="1"/>
  <c r="BD6" i="7"/>
  <c r="AH6" i="7"/>
  <c r="L6" i="7"/>
  <c r="BA6" i="7"/>
  <c r="AD6" i="7"/>
  <c r="G6" i="7"/>
  <c r="AS6" i="7"/>
  <c r="V6" i="7"/>
  <c r="AR6" i="7"/>
  <c r="U6" i="7"/>
  <c r="AX6" i="7"/>
  <c r="X6" i="7"/>
  <c r="AN6" i="7"/>
  <c r="N6" i="7"/>
  <c r="BB6" i="7"/>
  <c r="W6" i="7"/>
  <c r="AZ6" i="7"/>
  <c r="T6" i="7"/>
  <c r="AY6" i="7"/>
  <c r="S6" i="7"/>
  <c r="AO6" i="7"/>
  <c r="J6" i="7"/>
  <c r="AV6" i="7"/>
  <c r="I6" i="7"/>
  <c r="AU6" i="7"/>
  <c r="H6" i="7"/>
  <c r="AT6" i="7"/>
  <c r="F6" i="7"/>
  <c r="AI6" i="7"/>
  <c r="AG6" i="7"/>
  <c r="AF6" i="7"/>
  <c r="M6" i="7"/>
  <c r="AP6" i="7"/>
  <c r="AM6" i="7"/>
  <c r="AP7" i="7"/>
  <c r="T7" i="7"/>
  <c r="AO7" i="7"/>
  <c r="R7" i="7"/>
  <c r="BD7" i="7"/>
  <c r="AG7" i="7"/>
  <c r="J7" i="7"/>
  <c r="BC7" i="7"/>
  <c r="AF7" i="7"/>
  <c r="I7" i="7"/>
  <c r="AT7" i="7"/>
  <c r="S7" i="7"/>
  <c r="AJ7" i="7"/>
  <c r="H7" i="7"/>
  <c r="AS7" i="7"/>
  <c r="Z7" i="7"/>
  <c r="BB7" i="7"/>
  <c r="Y7" i="7"/>
  <c r="BA7" i="7"/>
  <c r="X7" i="7"/>
  <c r="AU7" i="7"/>
  <c r="N7" i="7"/>
  <c r="AR7" i="7"/>
  <c r="M7" i="7"/>
  <c r="AD7" i="7"/>
  <c r="AB7" i="7"/>
  <c r="P7" i="7"/>
  <c r="AZ7" i="7"/>
  <c r="L7" i="7"/>
  <c r="AY7" i="7"/>
  <c r="K7" i="7"/>
  <c r="D7" i="7"/>
  <c r="AM7" i="7"/>
  <c r="AL7" i="7"/>
  <c r="E8" i="7"/>
  <c r="AH53" i="3"/>
  <c r="AU53" i="3" s="1"/>
  <c r="W56" i="3"/>
  <c r="AJ56" i="3" s="1"/>
  <c r="AA59" i="3"/>
  <c r="AN59" i="3" s="1"/>
  <c r="AG62" i="3"/>
  <c r="AT62" i="3" s="1"/>
  <c r="V63" i="3"/>
  <c r="AI63" i="3" s="1"/>
  <c r="B64" i="3"/>
  <c r="AH69" i="3"/>
  <c r="AU69" i="3" s="1"/>
  <c r="AA70" i="3"/>
  <c r="AN70" i="3" s="1"/>
  <c r="B6" i="7"/>
  <c r="B7" i="7"/>
  <c r="H8" i="7"/>
  <c r="B8" i="7"/>
  <c r="AA53" i="3"/>
  <c r="AN53" i="3" s="1"/>
  <c r="V56" i="3"/>
  <c r="AI56" i="3" s="1"/>
  <c r="F59" i="3"/>
  <c r="AB62" i="3"/>
  <c r="AO62" i="3" s="1"/>
  <c r="AB69" i="3"/>
  <c r="AO69" i="3" s="1"/>
  <c r="AD56" i="3"/>
  <c r="AQ56" i="3" s="1"/>
  <c r="AB59" i="3"/>
  <c r="AO59" i="3" s="1"/>
  <c r="X63" i="3"/>
  <c r="AK63" i="3" s="1"/>
  <c r="C64" i="3"/>
  <c r="AC70" i="3"/>
  <c r="AP70" i="3" s="1"/>
  <c r="X71" i="3"/>
  <c r="AK71" i="3" s="1"/>
  <c r="D15" i="4"/>
  <c r="D41" i="4"/>
  <c r="C6" i="7"/>
  <c r="C7" i="7"/>
  <c r="L8" i="7"/>
  <c r="X8" i="7"/>
  <c r="T52" i="3"/>
  <c r="AF54" i="3"/>
  <c r="AS54" i="3" s="1"/>
  <c r="B55" i="3"/>
  <c r="AC57" i="3"/>
  <c r="AP57" i="3" s="1"/>
  <c r="Y60" i="3"/>
  <c r="AL60" i="3" s="1"/>
  <c r="AC64" i="3"/>
  <c r="AP64" i="3" s="1"/>
  <c r="Z65" i="3"/>
  <c r="AM65" i="3" s="1"/>
  <c r="Y6" i="7"/>
  <c r="W7" i="7"/>
  <c r="Y8" i="7"/>
  <c r="W52" i="3"/>
  <c r="AJ52" i="3" s="1"/>
  <c r="AG54" i="3"/>
  <c r="AT54" i="3" s="1"/>
  <c r="F55" i="3"/>
  <c r="AE57" i="3"/>
  <c r="AR57" i="3" s="1"/>
  <c r="B58" i="3"/>
  <c r="AA60" i="3"/>
  <c r="AN60" i="3" s="1"/>
  <c r="C61" i="3"/>
  <c r="AF64" i="3"/>
  <c r="AS64" i="3" s="1"/>
  <c r="AA65" i="3"/>
  <c r="AN65" i="3" s="1"/>
  <c r="F66" i="3"/>
  <c r="D46" i="4"/>
  <c r="Z6" i="7"/>
  <c r="AA7" i="7"/>
  <c r="AE8" i="7"/>
  <c r="AR10" i="7"/>
  <c r="V10" i="7"/>
  <c r="AZ10" i="7"/>
  <c r="F10" i="7"/>
  <c r="T10" i="7"/>
  <c r="AP10" i="7"/>
  <c r="S10" i="7"/>
  <c r="AF10" i="7"/>
  <c r="E10" i="7"/>
  <c r="AW10" i="7"/>
  <c r="W10" i="7"/>
  <c r="AU10" i="7"/>
  <c r="P10" i="7"/>
  <c r="AT10" i="7"/>
  <c r="AN10" i="7"/>
  <c r="J10" i="7"/>
  <c r="AM10" i="7"/>
  <c r="I10" i="7"/>
  <c r="AL10" i="7"/>
  <c r="H10" i="7"/>
  <c r="AE10" i="7"/>
  <c r="AD10" i="7"/>
  <c r="AO10" i="7"/>
  <c r="BD17" i="7"/>
  <c r="AH17" i="7"/>
  <c r="L17" i="7"/>
  <c r="BC17" i="7"/>
  <c r="AG17" i="7"/>
  <c r="K17" i="7"/>
  <c r="AZ17" i="7"/>
  <c r="AB17" i="7"/>
  <c r="D17" i="7"/>
  <c r="AR17" i="7"/>
  <c r="T17" i="7"/>
  <c r="S17" i="7"/>
  <c r="AF17" i="7"/>
  <c r="E17" i="7"/>
  <c r="AX17" i="7"/>
  <c r="W17" i="7"/>
  <c r="AW17" i="7"/>
  <c r="R17" i="7"/>
  <c r="AV17" i="7"/>
  <c r="Q17" i="7"/>
  <c r="AO17" i="7"/>
  <c r="H17" i="7"/>
  <c r="AN17" i="7"/>
  <c r="G17" i="7"/>
  <c r="AM17" i="7"/>
  <c r="F17" i="7"/>
  <c r="AD17" i="7"/>
  <c r="AT17" i="7"/>
  <c r="AN15" i="7"/>
  <c r="R15" i="7"/>
  <c r="AM15" i="7"/>
  <c r="Q15" i="7"/>
  <c r="AV15" i="7"/>
  <c r="X15" i="7"/>
  <c r="AL15" i="7"/>
  <c r="N15" i="7"/>
  <c r="AK15" i="7"/>
  <c r="M15" i="7"/>
  <c r="AI15" i="7"/>
  <c r="H15" i="7"/>
  <c r="BB15" i="7"/>
  <c r="AA15" i="7"/>
  <c r="AR15" i="7"/>
  <c r="K15" i="7"/>
  <c r="J15" i="7"/>
  <c r="BD15" i="7"/>
  <c r="W15" i="7"/>
  <c r="BC15" i="7"/>
  <c r="V15" i="7"/>
  <c r="BA15" i="7"/>
  <c r="U15" i="7"/>
  <c r="AT15" i="7"/>
  <c r="I15" i="7"/>
  <c r="AS15" i="7"/>
  <c r="G15" i="7"/>
  <c r="AP15" i="7"/>
  <c r="AP18" i="7"/>
  <c r="T18" i="7"/>
  <c r="AO18" i="7"/>
  <c r="S18" i="7"/>
  <c r="AR18" i="7"/>
  <c r="R18" i="7"/>
  <c r="BF18" i="7"/>
  <c r="AH18" i="7"/>
  <c r="J18" i="7"/>
  <c r="AG18" i="7"/>
  <c r="I18" i="7"/>
  <c r="AD18" i="7"/>
  <c r="C18" i="7"/>
  <c r="AW18" i="7"/>
  <c r="V18" i="7"/>
  <c r="BA18" i="7"/>
  <c r="X18" i="7"/>
  <c r="AZ18" i="7"/>
  <c r="W18" i="7"/>
  <c r="AY18" i="7"/>
  <c r="P18" i="7"/>
  <c r="AX18" i="7"/>
  <c r="AV18" i="7"/>
  <c r="N18" i="7"/>
  <c r="AM18" i="7"/>
  <c r="F18" i="7"/>
  <c r="AL18" i="7"/>
  <c r="E18" i="7"/>
  <c r="AS18" i="7"/>
  <c r="B15" i="7"/>
  <c r="AU15" i="7"/>
  <c r="B18" i="7"/>
  <c r="AT18" i="7"/>
  <c r="AJ9" i="7"/>
  <c r="N9" i="7"/>
  <c r="AO9" i="7"/>
  <c r="R9" i="7"/>
  <c r="BC9" i="7"/>
  <c r="AF9" i="7"/>
  <c r="I9" i="7"/>
  <c r="BB9" i="7"/>
  <c r="AE9" i="7"/>
  <c r="H9" i="7"/>
  <c r="AK9" i="7"/>
  <c r="J9" i="7"/>
  <c r="AZ9" i="7"/>
  <c r="Z9" i="7"/>
  <c r="AT9" i="7"/>
  <c r="Q9" i="7"/>
  <c r="AS9" i="7"/>
  <c r="P9" i="7"/>
  <c r="AG9" i="7"/>
  <c r="B9" i="7"/>
  <c r="AH9" i="7"/>
  <c r="C9" i="7"/>
  <c r="AI9" i="7"/>
  <c r="BB14" i="7"/>
  <c r="AF14" i="7"/>
  <c r="J14" i="7"/>
  <c r="BA14" i="7"/>
  <c r="AE14" i="7"/>
  <c r="I14" i="7"/>
  <c r="AH14" i="7"/>
  <c r="H14" i="7"/>
  <c r="AV14" i="7"/>
  <c r="X14" i="7"/>
  <c r="AU14" i="7"/>
  <c r="W14" i="7"/>
  <c r="AB14" i="7"/>
  <c r="R19" i="7"/>
  <c r="AX19" i="7"/>
  <c r="AB19" i="7"/>
  <c r="F19" i="7"/>
  <c r="AW19" i="7"/>
  <c r="AA19" i="7"/>
  <c r="E19" i="7"/>
  <c r="BF19" i="7"/>
  <c r="AH19" i="7"/>
  <c r="J19" i="7"/>
  <c r="AV19" i="7"/>
  <c r="X19" i="7"/>
  <c r="AU19" i="7"/>
  <c r="W19" i="7"/>
  <c r="AD19" i="7"/>
  <c r="W13" i="7"/>
  <c r="AS13" i="7"/>
  <c r="B13" i="7"/>
  <c r="X13" i="7"/>
  <c r="BJ54" i="3" l="1"/>
  <c r="BQ60" i="3"/>
  <c r="BS58" i="3"/>
  <c r="BS61" i="3"/>
  <c r="AZ53" i="3"/>
  <c r="G43" i="4"/>
  <c r="BL52" i="3"/>
  <c r="G39" i="4"/>
  <c r="G31" i="4"/>
  <c r="BF57" i="3"/>
  <c r="BQ58" i="3"/>
  <c r="BB64" i="3"/>
  <c r="AW55" i="3"/>
  <c r="AZ64" i="3"/>
  <c r="BG70" i="3"/>
  <c r="E39" i="4"/>
  <c r="BB71" i="3"/>
  <c r="BD70" i="3"/>
  <c r="AV64" i="3"/>
  <c r="BR59" i="3"/>
  <c r="BD60" i="3"/>
  <c r="BA71" i="3"/>
  <c r="BT58" i="3"/>
  <c r="BF68" i="3"/>
  <c r="BM55" i="3"/>
  <c r="AY52" i="3"/>
  <c r="BF67" i="3"/>
  <c r="BH57" i="3"/>
  <c r="AC17" i="7"/>
  <c r="BO63" i="3"/>
  <c r="AY71" i="3"/>
  <c r="BP67" i="3"/>
  <c r="BB57" i="3"/>
  <c r="AW67" i="3"/>
  <c r="F43" i="4"/>
  <c r="BF65" i="3"/>
  <c r="BL69" i="3"/>
  <c r="BB52" i="3"/>
  <c r="BD55" i="3"/>
  <c r="BE59" i="3"/>
  <c r="BJ55" i="3"/>
  <c r="BS68" i="3"/>
  <c r="BO61" i="3"/>
  <c r="F35" i="4"/>
  <c r="BP66" i="3"/>
  <c r="AZ52" i="3"/>
  <c r="AX55" i="3"/>
  <c r="BS65" i="3"/>
  <c r="BH71" i="3"/>
  <c r="BG57" i="3"/>
  <c r="F31" i="4"/>
  <c r="BU55" i="3"/>
  <c r="BG67" i="3"/>
  <c r="BL60" i="3"/>
  <c r="BC59" i="3"/>
  <c r="BM70" i="3"/>
  <c r="AZ71" i="3"/>
  <c r="BQ67" i="3"/>
  <c r="BG65" i="3"/>
  <c r="BU61" i="3"/>
  <c r="BD66" i="3"/>
  <c r="AW54" i="3"/>
  <c r="AV61" i="3"/>
  <c r="O19" i="7"/>
  <c r="BS56" i="3"/>
  <c r="E35" i="4"/>
  <c r="BT59" i="3"/>
  <c r="BN62" i="3"/>
  <c r="E37" i="4"/>
  <c r="BH67" i="3"/>
  <c r="F37" i="4"/>
  <c r="AX66" i="3"/>
  <c r="BH64" i="3"/>
  <c r="O10" i="7"/>
  <c r="BK57" i="3"/>
  <c r="BN69" i="3"/>
  <c r="BH55" i="3"/>
  <c r="AX54" i="3"/>
  <c r="BP68" i="3"/>
  <c r="BL53" i="3"/>
  <c r="BA54" i="3"/>
  <c r="AY53" i="3"/>
  <c r="BR58" i="3"/>
  <c r="AY54" i="3"/>
  <c r="O17" i="7"/>
  <c r="BH70" i="3"/>
  <c r="BE60" i="3"/>
  <c r="BV52" i="3"/>
  <c r="BE19" i="7"/>
  <c r="BA52" i="3"/>
  <c r="H32" i="3"/>
  <c r="M32" i="3" s="1"/>
  <c r="E18" i="3"/>
  <c r="F18" i="3"/>
  <c r="CK18" i="3" s="1"/>
  <c r="D18" i="3"/>
  <c r="AC15" i="7"/>
  <c r="AQ15" i="7"/>
  <c r="AC9" i="7"/>
  <c r="AQ7" i="7"/>
  <c r="AQ12" i="7"/>
  <c r="AC14" i="7"/>
  <c r="O13" i="7"/>
  <c r="BE13" i="7"/>
  <c r="D21" i="3"/>
  <c r="F21" i="3"/>
  <c r="BE9" i="7"/>
  <c r="H35" i="3"/>
  <c r="M35" i="3" s="1"/>
  <c r="BE14" i="7"/>
  <c r="E21" i="3"/>
  <c r="O14" i="7"/>
  <c r="AQ13" i="7"/>
  <c r="BD56" i="3"/>
  <c r="BR56" i="3"/>
  <c r="BJ63" i="3"/>
  <c r="AV63" i="3"/>
  <c r="BU68" i="3"/>
  <c r="BG68" i="3"/>
  <c r="BK69" i="3"/>
  <c r="AW69" i="3"/>
  <c r="BA64" i="3"/>
  <c r="BO64" i="3"/>
  <c r="AW71" i="3"/>
  <c r="BK71" i="3"/>
  <c r="BG60" i="3"/>
  <c r="BU60" i="3"/>
  <c r="BF56" i="3"/>
  <c r="BT56" i="3"/>
  <c r="AC19" i="7"/>
  <c r="BE15" i="7"/>
  <c r="BE16" i="7"/>
  <c r="BH53" i="3"/>
  <c r="BV53" i="3"/>
  <c r="BE7" i="7"/>
  <c r="AW63" i="3"/>
  <c r="BK63" i="3"/>
  <c r="BJ59" i="3"/>
  <c r="AV59" i="3"/>
  <c r="AV71" i="3"/>
  <c r="BJ71" i="3"/>
  <c r="O12" i="7"/>
  <c r="F9" i="5"/>
  <c r="E8" i="5"/>
  <c r="D7" i="5"/>
  <c r="F17" i="5"/>
  <c r="D16" i="5"/>
  <c r="F10" i="5"/>
  <c r="D9" i="5"/>
  <c r="E11" i="5"/>
  <c r="F18" i="5"/>
  <c r="F14" i="5"/>
  <c r="E14" i="5"/>
  <c r="F7" i="5"/>
  <c r="E15" i="5"/>
  <c r="E12" i="5"/>
  <c r="D12" i="5"/>
  <c r="F8" i="5"/>
  <c r="D8" i="5"/>
  <c r="E18" i="5"/>
  <c r="F13" i="5"/>
  <c r="D13" i="5"/>
  <c r="E6" i="5"/>
  <c r="D6" i="5"/>
  <c r="D19" i="5"/>
  <c r="F16" i="5"/>
  <c r="E16" i="5"/>
  <c r="D15" i="5"/>
  <c r="E7" i="5"/>
  <c r="F12" i="5"/>
  <c r="F19" i="5"/>
  <c r="F6" i="5"/>
  <c r="E19" i="5"/>
  <c r="E10" i="5"/>
  <c r="D10" i="5"/>
  <c r="D18" i="5"/>
  <c r="D14" i="5"/>
  <c r="E9" i="5"/>
  <c r="E17" i="5"/>
  <c r="E13" i="5"/>
  <c r="D17" i="5"/>
  <c r="D11" i="5"/>
  <c r="F15" i="5"/>
  <c r="F11" i="5"/>
  <c r="BD53" i="3"/>
  <c r="BR53" i="3"/>
  <c r="BL56" i="3"/>
  <c r="AX56" i="3"/>
  <c r="O11" i="7"/>
  <c r="BQ52" i="3"/>
  <c r="BC52" i="3"/>
  <c r="E67" i="3"/>
  <c r="BR57" i="3"/>
  <c r="BD57" i="3"/>
  <c r="F36" i="4"/>
  <c r="E36" i="4"/>
  <c r="G36" i="4"/>
  <c r="BE8" i="7"/>
  <c r="D28" i="3"/>
  <c r="C28" i="3"/>
  <c r="F28" i="3"/>
  <c r="E28" i="3"/>
  <c r="H42" i="3"/>
  <c r="E55" i="3"/>
  <c r="E63" i="3"/>
  <c r="BJ56" i="3"/>
  <c r="AV56" i="3"/>
  <c r="BE6" i="7"/>
  <c r="BH56" i="3"/>
  <c r="BV56" i="3"/>
  <c r="E54" i="3"/>
  <c r="BT53" i="3"/>
  <c r="BF53" i="3"/>
  <c r="AY66" i="3"/>
  <c r="BM66" i="3"/>
  <c r="BH58" i="3"/>
  <c r="BV58" i="3"/>
  <c r="AZ54" i="3"/>
  <c r="BN54" i="3"/>
  <c r="BN60" i="3"/>
  <c r="AZ60" i="3"/>
  <c r="AC13" i="7"/>
  <c r="BA58" i="3"/>
  <c r="BO58" i="3"/>
  <c r="AZ55" i="3"/>
  <c r="BN55" i="3"/>
  <c r="BU52" i="3"/>
  <c r="BG52" i="3"/>
  <c r="BL67" i="3"/>
  <c r="AX67" i="3"/>
  <c r="BF55" i="3"/>
  <c r="BT55" i="3"/>
  <c r="AQ19" i="7"/>
  <c r="BO65" i="3"/>
  <c r="BA65" i="3"/>
  <c r="BM56" i="3"/>
  <c r="AY56" i="3"/>
  <c r="BU53" i="3"/>
  <c r="BG53" i="3"/>
  <c r="BK68" i="3"/>
  <c r="AW68" i="3"/>
  <c r="BL68" i="3"/>
  <c r="AX68" i="3"/>
  <c r="BE66" i="3"/>
  <c r="BS66" i="3"/>
  <c r="AZ65" i="3"/>
  <c r="BN65" i="3"/>
  <c r="BL62" i="3"/>
  <c r="AX62" i="3"/>
  <c r="AY63" i="3"/>
  <c r="BM63" i="3"/>
  <c r="AZ56" i="3"/>
  <c r="BN56" i="3"/>
  <c r="BD54" i="3"/>
  <c r="BR54" i="3"/>
  <c r="BU64" i="3"/>
  <c r="BG64" i="3"/>
  <c r="AZ68" i="3"/>
  <c r="BN68" i="3"/>
  <c r="H33" i="3"/>
  <c r="C19" i="3"/>
  <c r="F19" i="3"/>
  <c r="E19" i="3"/>
  <c r="D19" i="3"/>
  <c r="B11" i="3"/>
  <c r="AQ14" i="7"/>
  <c r="AC18" i="7"/>
  <c r="E61" i="3"/>
  <c r="BQ64" i="3"/>
  <c r="BC64" i="3"/>
  <c r="AQ6" i="7"/>
  <c r="BC68" i="3"/>
  <c r="BQ68" i="3"/>
  <c r="AX65" i="3"/>
  <c r="BL65" i="3"/>
  <c r="AW66" i="3"/>
  <c r="BK66" i="3"/>
  <c r="BJ58" i="3"/>
  <c r="AV58" i="3"/>
  <c r="AZ57" i="3"/>
  <c r="BN57" i="3"/>
  <c r="BQ55" i="3"/>
  <c r="BC55" i="3"/>
  <c r="BS63" i="3"/>
  <c r="BE63" i="3"/>
  <c r="BS53" i="3"/>
  <c r="BE53" i="3"/>
  <c r="BB58" i="3"/>
  <c r="BP58" i="3"/>
  <c r="BM65" i="3"/>
  <c r="AY65" i="3"/>
  <c r="BR71" i="3"/>
  <c r="BD71" i="3"/>
  <c r="H34" i="3"/>
  <c r="E20" i="3"/>
  <c r="F20" i="3"/>
  <c r="D20" i="3"/>
  <c r="C20" i="3"/>
  <c r="BU69" i="3"/>
  <c r="BG69" i="3"/>
  <c r="E59" i="3"/>
  <c r="O15" i="7"/>
  <c r="BF15" i="7" s="1"/>
  <c r="BE10" i="7"/>
  <c r="F45" i="4"/>
  <c r="E45" i="4"/>
  <c r="G45" i="4"/>
  <c r="BC61" i="3"/>
  <c r="BQ61" i="3"/>
  <c r="BJ52" i="3"/>
  <c r="AV52" i="3"/>
  <c r="BE67" i="3"/>
  <c r="BS67" i="3"/>
  <c r="D27" i="3"/>
  <c r="C27" i="3"/>
  <c r="H41" i="3"/>
  <c r="F27" i="3"/>
  <c r="CK27" i="3" s="1"/>
  <c r="E27" i="3"/>
  <c r="BK56" i="3"/>
  <c r="AW56" i="3"/>
  <c r="G34" i="4"/>
  <c r="E34" i="4"/>
  <c r="F34" i="4"/>
  <c r="BM62" i="3"/>
  <c r="AY62" i="3"/>
  <c r="G48" i="4"/>
  <c r="F48" i="4"/>
  <c r="E48" i="4"/>
  <c r="BU58" i="3"/>
  <c r="BG58" i="3"/>
  <c r="BB53" i="3"/>
  <c r="BP53" i="3"/>
  <c r="BA69" i="3"/>
  <c r="BO69" i="3"/>
  <c r="F25" i="3"/>
  <c r="E25" i="3"/>
  <c r="H39" i="3"/>
  <c r="C25" i="3"/>
  <c r="D25" i="3"/>
  <c r="BH54" i="3"/>
  <c r="BV54" i="3"/>
  <c r="E26" i="3"/>
  <c r="D26" i="3"/>
  <c r="F26" i="3"/>
  <c r="C26" i="3"/>
  <c r="H40" i="3"/>
  <c r="AC11" i="7"/>
  <c r="AC16" i="7"/>
  <c r="BB69" i="3"/>
  <c r="BP69" i="3"/>
  <c r="BB61" i="3"/>
  <c r="BP61" i="3"/>
  <c r="AC12" i="7"/>
  <c r="BE18" i="7"/>
  <c r="BP62" i="3"/>
  <c r="BB62" i="3"/>
  <c r="AV62" i="3"/>
  <c r="BJ62" i="3"/>
  <c r="E46" i="4"/>
  <c r="G46" i="4"/>
  <c r="F46" i="4"/>
  <c r="AW53" i="3"/>
  <c r="BK53" i="3"/>
  <c r="BC53" i="3"/>
  <c r="BQ53" i="3"/>
  <c r="BF52" i="3"/>
  <c r="BT52" i="3"/>
  <c r="BP65" i="3"/>
  <c r="BB65" i="3"/>
  <c r="BA56" i="3"/>
  <c r="BO56" i="3"/>
  <c r="BB60" i="3"/>
  <c r="BP60" i="3"/>
  <c r="BU56" i="3"/>
  <c r="BG56" i="3"/>
  <c r="BP54" i="3"/>
  <c r="BB54" i="3"/>
  <c r="BU66" i="3"/>
  <c r="BG66" i="3"/>
  <c r="BH61" i="3"/>
  <c r="BV61" i="3"/>
  <c r="AQ8" i="7"/>
  <c r="BO53" i="3"/>
  <c r="BA53" i="3"/>
  <c r="BN58" i="3"/>
  <c r="AZ58" i="3"/>
  <c r="BE55" i="3"/>
  <c r="BS55" i="3"/>
  <c r="BC54" i="3"/>
  <c r="BQ54" i="3"/>
  <c r="AY59" i="3"/>
  <c r="BM59" i="3"/>
  <c r="BA67" i="3"/>
  <c r="BO67" i="3"/>
  <c r="AZ63" i="3"/>
  <c r="BN63" i="3"/>
  <c r="BE11" i="7"/>
  <c r="AQ9" i="7"/>
  <c r="BL57" i="3"/>
  <c r="AX57" i="3"/>
  <c r="BA55" i="3"/>
  <c r="BO55" i="3"/>
  <c r="E56" i="3"/>
  <c r="BO62" i="3"/>
  <c r="BA62" i="3"/>
  <c r="AC10" i="7"/>
  <c r="BF64" i="3"/>
  <c r="BT64" i="3"/>
  <c r="AW62" i="3"/>
  <c r="BK62" i="3"/>
  <c r="BM57" i="3"/>
  <c r="AY57" i="3"/>
  <c r="BV62" i="3"/>
  <c r="BH62" i="3"/>
  <c r="BJ57" i="3"/>
  <c r="AV57" i="3"/>
  <c r="BE17" i="7"/>
  <c r="BO60" i="3"/>
  <c r="BA60" i="3"/>
  <c r="AY60" i="3"/>
  <c r="BM60" i="3"/>
  <c r="BQ71" i="3"/>
  <c r="BC71" i="3"/>
  <c r="BD68" i="3"/>
  <c r="BR68" i="3"/>
  <c r="BR69" i="3"/>
  <c r="BD69" i="3"/>
  <c r="BK61" i="3"/>
  <c r="AW61" i="3"/>
  <c r="AW58" i="3"/>
  <c r="BK58" i="3"/>
  <c r="BC56" i="3"/>
  <c r="BQ56" i="3"/>
  <c r="G33" i="4"/>
  <c r="F33" i="4"/>
  <c r="E33" i="4"/>
  <c r="BD64" i="3"/>
  <c r="BR64" i="3"/>
  <c r="BP56" i="3"/>
  <c r="BB56" i="3"/>
  <c r="G29" i="4"/>
  <c r="F29" i="4"/>
  <c r="E29" i="4"/>
  <c r="BV59" i="3"/>
  <c r="BH59" i="3"/>
  <c r="E44" i="4"/>
  <c r="G44" i="4"/>
  <c r="F44" i="4"/>
  <c r="AQ16" i="7"/>
  <c r="BT71" i="3"/>
  <c r="BF71" i="3"/>
  <c r="BU62" i="3"/>
  <c r="BG62" i="3"/>
  <c r="BS71" i="3"/>
  <c r="BE71" i="3"/>
  <c r="AW70" i="3"/>
  <c r="BK70" i="3"/>
  <c r="AV66" i="3"/>
  <c r="BJ66" i="3"/>
  <c r="AQ10" i="7"/>
  <c r="BO59" i="3"/>
  <c r="BA59" i="3"/>
  <c r="BQ57" i="3"/>
  <c r="BC57" i="3"/>
  <c r="O8" i="7"/>
  <c r="E70" i="3"/>
  <c r="BC62" i="3"/>
  <c r="BQ62" i="3"/>
  <c r="BK59" i="3"/>
  <c r="AW59" i="3"/>
  <c r="BA57" i="3"/>
  <c r="BO57" i="3"/>
  <c r="BC65" i="3"/>
  <c r="BQ65" i="3"/>
  <c r="AZ59" i="3"/>
  <c r="BN59" i="3"/>
  <c r="BD61" i="3"/>
  <c r="BR61" i="3"/>
  <c r="BD67" i="3"/>
  <c r="BR67" i="3"/>
  <c r="BG63" i="3"/>
  <c r="BU63" i="3"/>
  <c r="BE57" i="3"/>
  <c r="BS57" i="3"/>
  <c r="G41" i="4"/>
  <c r="F41" i="4"/>
  <c r="E41" i="4"/>
  <c r="BG71" i="3"/>
  <c r="BU71" i="3"/>
  <c r="BH66" i="3"/>
  <c r="BV66" i="3"/>
  <c r="BJ60" i="3"/>
  <c r="AV60" i="3"/>
  <c r="AX58" i="3"/>
  <c r="BL58" i="3"/>
  <c r="AZ66" i="3"/>
  <c r="BN66" i="3"/>
  <c r="E60" i="3"/>
  <c r="BJ68" i="3"/>
  <c r="AV68" i="3"/>
  <c r="BK65" i="3"/>
  <c r="AW65" i="3"/>
  <c r="F24" i="3"/>
  <c r="C24" i="3"/>
  <c r="D24" i="3"/>
  <c r="H38" i="3"/>
  <c r="E24" i="3"/>
  <c r="F23" i="3"/>
  <c r="E23" i="3"/>
  <c r="D23" i="3"/>
  <c r="C23" i="3"/>
  <c r="H37" i="3"/>
  <c r="BT54" i="3"/>
  <c r="BF54" i="3"/>
  <c r="O7" i="7"/>
  <c r="E30" i="4"/>
  <c r="G30" i="4"/>
  <c r="F30" i="4"/>
  <c r="E68" i="3"/>
  <c r="BL61" i="3"/>
  <c r="AX61" i="3"/>
  <c r="BL59" i="3"/>
  <c r="AX59" i="3"/>
  <c r="BU59" i="3"/>
  <c r="BG59" i="3"/>
  <c r="E52" i="3"/>
  <c r="BM67" i="3"/>
  <c r="AY67" i="3"/>
  <c r="BT63" i="3"/>
  <c r="BF63" i="3"/>
  <c r="BV63" i="3"/>
  <c r="BH63" i="3"/>
  <c r="BB70" i="3"/>
  <c r="BP70" i="3"/>
  <c r="BC66" i="3"/>
  <c r="BQ66" i="3"/>
  <c r="BG54" i="3"/>
  <c r="BU54" i="3"/>
  <c r="AX71" i="3"/>
  <c r="BL71" i="3"/>
  <c r="O6" i="7"/>
  <c r="BN70" i="3"/>
  <c r="AZ70" i="3"/>
  <c r="E38" i="4"/>
  <c r="F38" i="4"/>
  <c r="G38" i="4"/>
  <c r="BS69" i="3"/>
  <c r="BE69" i="3"/>
  <c r="BR62" i="3"/>
  <c r="BD62" i="3"/>
  <c r="AW60" i="3"/>
  <c r="BK60" i="3"/>
  <c r="BT60" i="3"/>
  <c r="BF60" i="3"/>
  <c r="BH60" i="3"/>
  <c r="BV60" i="3"/>
  <c r="BE52" i="3"/>
  <c r="BS52" i="3"/>
  <c r="AY68" i="3"/>
  <c r="BM68" i="3"/>
  <c r="BE64" i="3"/>
  <c r="BS64" i="3"/>
  <c r="AX64" i="3"/>
  <c r="BL64" i="3"/>
  <c r="AQ17" i="7"/>
  <c r="BK52" i="3"/>
  <c r="AW52" i="3"/>
  <c r="BQ70" i="3"/>
  <c r="BC70" i="3"/>
  <c r="E71" i="3"/>
  <c r="BM61" i="3"/>
  <c r="AY61" i="3"/>
  <c r="BJ53" i="3"/>
  <c r="AV53" i="3"/>
  <c r="AV69" i="3"/>
  <c r="BJ69" i="3"/>
  <c r="BD65" i="3"/>
  <c r="BR65" i="3"/>
  <c r="AY69" i="3"/>
  <c r="BM69" i="3"/>
  <c r="E22" i="3"/>
  <c r="C22" i="3"/>
  <c r="H36" i="3"/>
  <c r="F22" i="3"/>
  <c r="D22" i="3"/>
  <c r="L43" i="3"/>
  <c r="N43" i="3"/>
  <c r="M43" i="3"/>
  <c r="K43" i="3"/>
  <c r="J43" i="3"/>
  <c r="I43" i="3"/>
  <c r="E64" i="3"/>
  <c r="BA70" i="3"/>
  <c r="BO70" i="3"/>
  <c r="AC6" i="7"/>
  <c r="E32" i="4"/>
  <c r="F32" i="4"/>
  <c r="G32" i="4"/>
  <c r="BF69" i="3"/>
  <c r="BT69" i="3"/>
  <c r="BS62" i="3"/>
  <c r="BE62" i="3"/>
  <c r="AW64" i="3"/>
  <c r="BK64" i="3"/>
  <c r="AY64" i="3"/>
  <c r="BM64" i="3"/>
  <c r="BB55" i="3"/>
  <c r="BP55" i="3"/>
  <c r="AV70" i="3"/>
  <c r="BJ70" i="3"/>
  <c r="BO66" i="3"/>
  <c r="BA66" i="3"/>
  <c r="BF66" i="3"/>
  <c r="BT66" i="3"/>
  <c r="G40" i="4"/>
  <c r="F40" i="4"/>
  <c r="E40" i="4"/>
  <c r="BS70" i="3"/>
  <c r="BE70" i="3"/>
  <c r="AC8" i="7"/>
  <c r="O9" i="7"/>
  <c r="BL63" i="3"/>
  <c r="AX63" i="3"/>
  <c r="BH69" i="3"/>
  <c r="BV69" i="3"/>
  <c r="BJ65" i="3"/>
  <c r="AV65" i="3"/>
  <c r="BH65" i="3"/>
  <c r="BV65" i="3"/>
  <c r="BV68" i="3"/>
  <c r="BH68" i="3"/>
  <c r="AZ67" i="3"/>
  <c r="BN67" i="3"/>
  <c r="BD52" i="3"/>
  <c r="BR52" i="3"/>
  <c r="BJ67" i="3"/>
  <c r="AV67" i="3"/>
  <c r="BN61" i="3"/>
  <c r="AZ61" i="3"/>
  <c r="O16" i="7"/>
  <c r="O18" i="7"/>
  <c r="AQ18" i="7"/>
  <c r="BB59" i="3"/>
  <c r="BP59" i="3"/>
  <c r="AC7" i="7"/>
  <c r="G42" i="4"/>
  <c r="E42" i="4"/>
  <c r="F42" i="4"/>
  <c r="AX70" i="3"/>
  <c r="BL70" i="3"/>
  <c r="AY58" i="3"/>
  <c r="BM58" i="3"/>
  <c r="BA68" i="3"/>
  <c r="BO68" i="3"/>
  <c r="BS54" i="3"/>
  <c r="BE54" i="3"/>
  <c r="BQ69" i="3"/>
  <c r="BC69" i="3"/>
  <c r="BF62" i="3"/>
  <c r="BT62" i="3"/>
  <c r="BE12" i="7"/>
  <c r="K44" i="3"/>
  <c r="N44" i="3"/>
  <c r="M44" i="3"/>
  <c r="L44" i="3"/>
  <c r="J44" i="3"/>
  <c r="I44" i="3"/>
  <c r="AQ11" i="7"/>
  <c r="CK22" i="3" l="1"/>
  <c r="CK24" i="3"/>
  <c r="CK26" i="3"/>
  <c r="CK23" i="3"/>
  <c r="CK25" i="3"/>
  <c r="CK20" i="3"/>
  <c r="BF10" i="7"/>
  <c r="BF12" i="7"/>
  <c r="BF14" i="7"/>
  <c r="CK16" i="3"/>
  <c r="E4" i="3" s="1"/>
  <c r="N37" i="3" s="1"/>
  <c r="BF13" i="7"/>
  <c r="CK21" i="3"/>
  <c r="N41" i="3"/>
  <c r="M41" i="3"/>
  <c r="M37" i="3"/>
  <c r="CK19" i="3"/>
  <c r="BF6" i="7"/>
  <c r="M38" i="3"/>
  <c r="M33" i="3"/>
  <c r="M39" i="3"/>
  <c r="BF16" i="7"/>
  <c r="BF9" i="7"/>
  <c r="CK28" i="3"/>
  <c r="M34" i="3"/>
  <c r="B21" i="4"/>
  <c r="P28" i="3"/>
  <c r="P27" i="3"/>
  <c r="P21" i="3"/>
  <c r="P20" i="3"/>
  <c r="P19" i="3"/>
  <c r="P24" i="3"/>
  <c r="K30" i="3"/>
  <c r="P25" i="3"/>
  <c r="B20" i="4"/>
  <c r="CJ18" i="3"/>
  <c r="P23" i="3"/>
  <c r="P30" i="3"/>
  <c r="Q30" i="3" s="1"/>
  <c r="P18" i="3"/>
  <c r="P29" i="3"/>
  <c r="Q29" i="3" s="1"/>
  <c r="B12" i="3"/>
  <c r="P26" i="3"/>
  <c r="P22" i="3"/>
  <c r="K29" i="3"/>
  <c r="T40" i="3"/>
  <c r="T32" i="3"/>
  <c r="T35" i="3"/>
  <c r="T41" i="3"/>
  <c r="T46" i="3"/>
  <c r="CI18" i="3"/>
  <c r="T36" i="3"/>
  <c r="T43" i="3"/>
  <c r="T37" i="3"/>
  <c r="T47" i="3"/>
  <c r="T33" i="3"/>
  <c r="T48" i="3"/>
  <c r="T39" i="3"/>
  <c r="T45" i="3"/>
  <c r="T38" i="3"/>
  <c r="T51" i="3"/>
  <c r="T50" i="3"/>
  <c r="T49" i="3"/>
  <c r="B13" i="3"/>
  <c r="T34" i="3"/>
  <c r="T44" i="3"/>
  <c r="T42" i="3"/>
  <c r="M36" i="3"/>
  <c r="M42" i="3"/>
  <c r="N42" i="3"/>
  <c r="BF7" i="7"/>
  <c r="BF8" i="7"/>
  <c r="M40" i="3"/>
  <c r="BF11" i="7"/>
  <c r="Q20" i="3" l="1"/>
  <c r="N40" i="3"/>
  <c r="N34" i="3"/>
  <c r="N36" i="3"/>
  <c r="N39" i="3"/>
  <c r="N33" i="3"/>
  <c r="E5" i="3"/>
  <c r="B51" i="3" s="1"/>
  <c r="E28" i="4" s="1"/>
  <c r="AE51" i="3"/>
  <c r="AR51" i="3" s="1"/>
  <c r="AC51" i="3"/>
  <c r="AP51" i="3" s="1"/>
  <c r="Z51" i="3"/>
  <c r="AM51" i="3" s="1"/>
  <c r="Y51" i="3"/>
  <c r="AL51" i="3" s="1"/>
  <c r="V51" i="3"/>
  <c r="AI51" i="3" s="1"/>
  <c r="AA51" i="3"/>
  <c r="AN51" i="3" s="1"/>
  <c r="X51" i="3"/>
  <c r="AK51" i="3" s="1"/>
  <c r="AH51" i="3"/>
  <c r="AU51" i="3" s="1"/>
  <c r="AD51" i="3"/>
  <c r="AQ51" i="3" s="1"/>
  <c r="AG51" i="3"/>
  <c r="AT51" i="3" s="1"/>
  <c r="AB51" i="3"/>
  <c r="AO51" i="3" s="1"/>
  <c r="AF51" i="3"/>
  <c r="AS51" i="3" s="1"/>
  <c r="W51" i="3"/>
  <c r="AJ51" i="3" s="1"/>
  <c r="Q23" i="3"/>
  <c r="Q26" i="3"/>
  <c r="AH37" i="3"/>
  <c r="AU37" i="3" s="1"/>
  <c r="AG37" i="3"/>
  <c r="AT37" i="3" s="1"/>
  <c r="AA37" i="3"/>
  <c r="AN37" i="3" s="1"/>
  <c r="Y37" i="3"/>
  <c r="AL37" i="3" s="1"/>
  <c r="X37" i="3"/>
  <c r="AK37" i="3" s="1"/>
  <c r="Z37" i="3"/>
  <c r="AM37" i="3" s="1"/>
  <c r="W37" i="3"/>
  <c r="AJ37" i="3" s="1"/>
  <c r="AD37" i="3"/>
  <c r="AQ37" i="3" s="1"/>
  <c r="AB37" i="3"/>
  <c r="AO37" i="3" s="1"/>
  <c r="AE37" i="3"/>
  <c r="AR37" i="3" s="1"/>
  <c r="V37" i="3"/>
  <c r="AI37" i="3" s="1"/>
  <c r="AC37" i="3"/>
  <c r="AP37" i="3" s="1"/>
  <c r="AF37" i="3"/>
  <c r="AS37" i="3" s="1"/>
  <c r="AG43" i="3"/>
  <c r="AT43" i="3" s="1"/>
  <c r="AH43" i="3"/>
  <c r="AU43" i="3" s="1"/>
  <c r="V43" i="3"/>
  <c r="AI43" i="3" s="1"/>
  <c r="Y43" i="3"/>
  <c r="AL43" i="3" s="1"/>
  <c r="W43" i="3"/>
  <c r="AJ43" i="3" s="1"/>
  <c r="AD43" i="3"/>
  <c r="AQ43" i="3" s="1"/>
  <c r="AA43" i="3"/>
  <c r="AN43" i="3" s="1"/>
  <c r="AC43" i="3"/>
  <c r="AP43" i="3" s="1"/>
  <c r="AB43" i="3"/>
  <c r="AO43" i="3" s="1"/>
  <c r="Z43" i="3"/>
  <c r="AM43" i="3" s="1"/>
  <c r="AE43" i="3"/>
  <c r="AR43" i="3" s="1"/>
  <c r="X43" i="3"/>
  <c r="AK43" i="3" s="1"/>
  <c r="AF43" i="3"/>
  <c r="AS43" i="3" s="1"/>
  <c r="W42" i="3"/>
  <c r="AJ42" i="3" s="1"/>
  <c r="AG42" i="3"/>
  <c r="AT42" i="3" s="1"/>
  <c r="AE42" i="3"/>
  <c r="AR42" i="3" s="1"/>
  <c r="AD42" i="3"/>
  <c r="AQ42" i="3" s="1"/>
  <c r="AC42" i="3"/>
  <c r="AP42" i="3" s="1"/>
  <c r="V42" i="3"/>
  <c r="AI42" i="3" s="1"/>
  <c r="X42" i="3"/>
  <c r="AK42" i="3" s="1"/>
  <c r="AB42" i="3"/>
  <c r="AO42" i="3" s="1"/>
  <c r="Y42" i="3"/>
  <c r="AL42" i="3" s="1"/>
  <c r="Z42" i="3"/>
  <c r="AM42" i="3" s="1"/>
  <c r="AH42" i="3"/>
  <c r="AU42" i="3" s="1"/>
  <c r="AF42" i="3"/>
  <c r="AS42" i="3" s="1"/>
  <c r="AA42" i="3"/>
  <c r="AN42" i="3" s="1"/>
  <c r="AF45" i="3"/>
  <c r="AS45" i="3" s="1"/>
  <c r="AA45" i="3"/>
  <c r="AN45" i="3" s="1"/>
  <c r="Y45" i="3"/>
  <c r="AL45" i="3" s="1"/>
  <c r="X45" i="3"/>
  <c r="AK45" i="3" s="1"/>
  <c r="W45" i="3"/>
  <c r="AJ45" i="3" s="1"/>
  <c r="AD45" i="3"/>
  <c r="AQ45" i="3" s="1"/>
  <c r="AB45" i="3"/>
  <c r="AO45" i="3" s="1"/>
  <c r="AE45" i="3"/>
  <c r="AR45" i="3" s="1"/>
  <c r="Z45" i="3"/>
  <c r="AM45" i="3" s="1"/>
  <c r="AG45" i="3"/>
  <c r="AT45" i="3" s="1"/>
  <c r="AC45" i="3"/>
  <c r="AP45" i="3" s="1"/>
  <c r="V45" i="3"/>
  <c r="AI45" i="3" s="1"/>
  <c r="AH45" i="3"/>
  <c r="AU45" i="3" s="1"/>
  <c r="AC36" i="3"/>
  <c r="AP36" i="3" s="1"/>
  <c r="AH36" i="3"/>
  <c r="AU36" i="3" s="1"/>
  <c r="AG36" i="3"/>
  <c r="AT36" i="3" s="1"/>
  <c r="Y36" i="3"/>
  <c r="AL36" i="3" s="1"/>
  <c r="W36" i="3"/>
  <c r="AJ36" i="3" s="1"/>
  <c r="Z36" i="3"/>
  <c r="AM36" i="3" s="1"/>
  <c r="X36" i="3"/>
  <c r="AK36" i="3" s="1"/>
  <c r="AB36" i="3"/>
  <c r="AO36" i="3" s="1"/>
  <c r="AD36" i="3"/>
  <c r="AQ36" i="3" s="1"/>
  <c r="V36" i="3"/>
  <c r="AI36" i="3" s="1"/>
  <c r="AF36" i="3"/>
  <c r="AS36" i="3" s="1"/>
  <c r="AE36" i="3"/>
  <c r="AR36" i="3" s="1"/>
  <c r="AA36" i="3"/>
  <c r="AN36" i="3" s="1"/>
  <c r="Z39" i="3"/>
  <c r="AM39" i="3" s="1"/>
  <c r="Y39" i="3"/>
  <c r="AL39" i="3" s="1"/>
  <c r="V39" i="3"/>
  <c r="AI39" i="3" s="1"/>
  <c r="AE39" i="3"/>
  <c r="AR39" i="3" s="1"/>
  <c r="AD39" i="3"/>
  <c r="AQ39" i="3" s="1"/>
  <c r="AH39" i="3"/>
  <c r="AU39" i="3" s="1"/>
  <c r="W39" i="3"/>
  <c r="AJ39" i="3" s="1"/>
  <c r="AC39" i="3"/>
  <c r="AP39" i="3" s="1"/>
  <c r="X39" i="3"/>
  <c r="AK39" i="3" s="1"/>
  <c r="AG39" i="3"/>
  <c r="AT39" i="3" s="1"/>
  <c r="AB39" i="3"/>
  <c r="AO39" i="3" s="1"/>
  <c r="AF39" i="3"/>
  <c r="AS39" i="3" s="1"/>
  <c r="AA39" i="3"/>
  <c r="AN39" i="3" s="1"/>
  <c r="Q25" i="3"/>
  <c r="AE50" i="3"/>
  <c r="AR50" i="3" s="1"/>
  <c r="AC50" i="3"/>
  <c r="AP50" i="3" s="1"/>
  <c r="AB50" i="3"/>
  <c r="AO50" i="3" s="1"/>
  <c r="Z50" i="3"/>
  <c r="AM50" i="3" s="1"/>
  <c r="W50" i="3"/>
  <c r="AJ50" i="3" s="1"/>
  <c r="V50" i="3"/>
  <c r="AI50" i="3" s="1"/>
  <c r="AD50" i="3"/>
  <c r="AQ50" i="3" s="1"/>
  <c r="X50" i="3"/>
  <c r="AK50" i="3" s="1"/>
  <c r="AG50" i="3"/>
  <c r="AT50" i="3" s="1"/>
  <c r="AH50" i="3"/>
  <c r="AU50" i="3" s="1"/>
  <c r="AF50" i="3"/>
  <c r="AS50" i="3" s="1"/>
  <c r="AA50" i="3"/>
  <c r="AN50" i="3" s="1"/>
  <c r="Y50" i="3"/>
  <c r="AL50" i="3" s="1"/>
  <c r="AG46" i="3"/>
  <c r="AT46" i="3" s="1"/>
  <c r="AC46" i="3"/>
  <c r="AP46" i="3" s="1"/>
  <c r="Y46" i="3"/>
  <c r="AL46" i="3" s="1"/>
  <c r="V46" i="3"/>
  <c r="AI46" i="3" s="1"/>
  <c r="AH46" i="3"/>
  <c r="AU46" i="3" s="1"/>
  <c r="AF46" i="3"/>
  <c r="AS46" i="3" s="1"/>
  <c r="Z46" i="3"/>
  <c r="AM46" i="3" s="1"/>
  <c r="W46" i="3"/>
  <c r="AJ46" i="3" s="1"/>
  <c r="X46" i="3"/>
  <c r="AK46" i="3" s="1"/>
  <c r="AD46" i="3"/>
  <c r="AQ46" i="3" s="1"/>
  <c r="AE46" i="3"/>
  <c r="AR46" i="3" s="1"/>
  <c r="AA46" i="3"/>
  <c r="AN46" i="3" s="1"/>
  <c r="AB46" i="3"/>
  <c r="AO46" i="3" s="1"/>
  <c r="Q21" i="3"/>
  <c r="AC41" i="3"/>
  <c r="AP41" i="3" s="1"/>
  <c r="AH41" i="3"/>
  <c r="AU41" i="3" s="1"/>
  <c r="AB41" i="3"/>
  <c r="AO41" i="3" s="1"/>
  <c r="W41" i="3"/>
  <c r="AJ41" i="3" s="1"/>
  <c r="V41" i="3"/>
  <c r="AI41" i="3" s="1"/>
  <c r="AA41" i="3"/>
  <c r="AN41" i="3" s="1"/>
  <c r="X41" i="3"/>
  <c r="AK41" i="3" s="1"/>
  <c r="AD41" i="3"/>
  <c r="AQ41" i="3" s="1"/>
  <c r="AG41" i="3"/>
  <c r="AT41" i="3" s="1"/>
  <c r="Y41" i="3"/>
  <c r="AL41" i="3" s="1"/>
  <c r="Z41" i="3"/>
  <c r="AM41" i="3" s="1"/>
  <c r="AF41" i="3"/>
  <c r="AS41" i="3" s="1"/>
  <c r="AE41" i="3"/>
  <c r="AR41" i="3" s="1"/>
  <c r="Q27" i="3"/>
  <c r="Q28" i="3"/>
  <c r="AG32" i="3"/>
  <c r="AT32" i="3" s="1"/>
  <c r="AF32" i="3"/>
  <c r="AS32" i="3" s="1"/>
  <c r="AC32" i="3"/>
  <c r="AP32" i="3" s="1"/>
  <c r="Y32" i="3"/>
  <c r="AL32" i="3" s="1"/>
  <c r="X32" i="3"/>
  <c r="AK32" i="3" s="1"/>
  <c r="Z32" i="3"/>
  <c r="AM32" i="3" s="1"/>
  <c r="AD32" i="3"/>
  <c r="AQ32" i="3" s="1"/>
  <c r="V32" i="3"/>
  <c r="AI32" i="3" s="1"/>
  <c r="AB32" i="3"/>
  <c r="AO32" i="3" s="1"/>
  <c r="AE32" i="3"/>
  <c r="AR32" i="3" s="1"/>
  <c r="AH32" i="3"/>
  <c r="AU32" i="3" s="1"/>
  <c r="AA32" i="3"/>
  <c r="AN32" i="3" s="1"/>
  <c r="W32" i="3"/>
  <c r="AJ32" i="3" s="1"/>
  <c r="Y48" i="3"/>
  <c r="AL48" i="3" s="1"/>
  <c r="AH48" i="3"/>
  <c r="AU48" i="3" s="1"/>
  <c r="AG48" i="3"/>
  <c r="AT48" i="3" s="1"/>
  <c r="AF48" i="3"/>
  <c r="AS48" i="3" s="1"/>
  <c r="W48" i="3"/>
  <c r="AJ48" i="3" s="1"/>
  <c r="AE48" i="3"/>
  <c r="AR48" i="3" s="1"/>
  <c r="AB48" i="3"/>
  <c r="AO48" i="3" s="1"/>
  <c r="Z48" i="3"/>
  <c r="AM48" i="3" s="1"/>
  <c r="AA48" i="3"/>
  <c r="AN48" i="3" s="1"/>
  <c r="X48" i="3"/>
  <c r="AK48" i="3" s="1"/>
  <c r="V48" i="3"/>
  <c r="AI48" i="3" s="1"/>
  <c r="AC48" i="3"/>
  <c r="AP48" i="3" s="1"/>
  <c r="AD48" i="3"/>
  <c r="AQ48" i="3" s="1"/>
  <c r="M29" i="3"/>
  <c r="L29" i="3"/>
  <c r="Q22" i="3"/>
  <c r="Q24" i="3"/>
  <c r="Q19" i="3"/>
  <c r="V44" i="3"/>
  <c r="AI44" i="3" s="1"/>
  <c r="AH44" i="3"/>
  <c r="AU44" i="3" s="1"/>
  <c r="AG44" i="3"/>
  <c r="AT44" i="3" s="1"/>
  <c r="AE44" i="3"/>
  <c r="AR44" i="3" s="1"/>
  <c r="AB44" i="3"/>
  <c r="AO44" i="3" s="1"/>
  <c r="AA44" i="3"/>
  <c r="AN44" i="3" s="1"/>
  <c r="Z44" i="3"/>
  <c r="AM44" i="3" s="1"/>
  <c r="W44" i="3"/>
  <c r="AJ44" i="3" s="1"/>
  <c r="Y44" i="3"/>
  <c r="AL44" i="3" s="1"/>
  <c r="X44" i="3"/>
  <c r="AK44" i="3" s="1"/>
  <c r="AF44" i="3"/>
  <c r="AS44" i="3" s="1"/>
  <c r="AC44" i="3"/>
  <c r="AP44" i="3" s="1"/>
  <c r="AD44" i="3"/>
  <c r="AQ44" i="3" s="1"/>
  <c r="AF34" i="3"/>
  <c r="AS34" i="3" s="1"/>
  <c r="AE34" i="3"/>
  <c r="AR34" i="3" s="1"/>
  <c r="AB34" i="3"/>
  <c r="AO34" i="3" s="1"/>
  <c r="AA34" i="3"/>
  <c r="AN34" i="3" s="1"/>
  <c r="Z34" i="3"/>
  <c r="AM34" i="3" s="1"/>
  <c r="V34" i="3"/>
  <c r="AI34" i="3" s="1"/>
  <c r="AC34" i="3"/>
  <c r="AP34" i="3" s="1"/>
  <c r="AD34" i="3"/>
  <c r="AQ34" i="3" s="1"/>
  <c r="X34" i="3"/>
  <c r="AK34" i="3" s="1"/>
  <c r="AG34" i="3"/>
  <c r="AT34" i="3" s="1"/>
  <c r="AH34" i="3"/>
  <c r="AU34" i="3" s="1"/>
  <c r="W34" i="3"/>
  <c r="AJ34" i="3" s="1"/>
  <c r="Y34" i="3"/>
  <c r="AL34" i="3" s="1"/>
  <c r="AA38" i="3"/>
  <c r="AN38" i="3" s="1"/>
  <c r="AG38" i="3"/>
  <c r="AT38" i="3" s="1"/>
  <c r="AE38" i="3"/>
  <c r="AR38" i="3" s="1"/>
  <c r="Z38" i="3"/>
  <c r="AM38" i="3" s="1"/>
  <c r="Y38" i="3"/>
  <c r="AL38" i="3" s="1"/>
  <c r="V38" i="3"/>
  <c r="AI38" i="3" s="1"/>
  <c r="X38" i="3"/>
  <c r="AK38" i="3" s="1"/>
  <c r="W38" i="3"/>
  <c r="AJ38" i="3" s="1"/>
  <c r="AH38" i="3"/>
  <c r="AU38" i="3" s="1"/>
  <c r="AD38" i="3"/>
  <c r="AQ38" i="3" s="1"/>
  <c r="AF38" i="3"/>
  <c r="AS38" i="3" s="1"/>
  <c r="AC38" i="3"/>
  <c r="AP38" i="3" s="1"/>
  <c r="AB38" i="3"/>
  <c r="AO38" i="3" s="1"/>
  <c r="AF35" i="3"/>
  <c r="AS35" i="3" s="1"/>
  <c r="AA35" i="3"/>
  <c r="AN35" i="3" s="1"/>
  <c r="Z35" i="3"/>
  <c r="AM35" i="3" s="1"/>
  <c r="X35" i="3"/>
  <c r="AK35" i="3" s="1"/>
  <c r="W35" i="3"/>
  <c r="AJ35" i="3" s="1"/>
  <c r="V35" i="3"/>
  <c r="AI35" i="3" s="1"/>
  <c r="AH35" i="3"/>
  <c r="AU35" i="3" s="1"/>
  <c r="Y35" i="3"/>
  <c r="AL35" i="3" s="1"/>
  <c r="AE35" i="3"/>
  <c r="AR35" i="3" s="1"/>
  <c r="AB35" i="3"/>
  <c r="AO35" i="3" s="1"/>
  <c r="AG35" i="3"/>
  <c r="AT35" i="3" s="1"/>
  <c r="AD35" i="3"/>
  <c r="AQ35" i="3" s="1"/>
  <c r="AC35" i="3"/>
  <c r="AP35" i="3" s="1"/>
  <c r="Y40" i="3"/>
  <c r="AL40" i="3" s="1"/>
  <c r="AE40" i="3"/>
  <c r="AR40" i="3" s="1"/>
  <c r="AD40" i="3"/>
  <c r="AQ40" i="3" s="1"/>
  <c r="AC40" i="3"/>
  <c r="AP40" i="3" s="1"/>
  <c r="AF40" i="3"/>
  <c r="AS40" i="3" s="1"/>
  <c r="AB40" i="3"/>
  <c r="AO40" i="3" s="1"/>
  <c r="X40" i="3"/>
  <c r="AK40" i="3" s="1"/>
  <c r="AG40" i="3"/>
  <c r="AT40" i="3" s="1"/>
  <c r="V40" i="3"/>
  <c r="AI40" i="3" s="1"/>
  <c r="Z40" i="3"/>
  <c r="AM40" i="3" s="1"/>
  <c r="AH40" i="3"/>
  <c r="AU40" i="3" s="1"/>
  <c r="W40" i="3"/>
  <c r="AJ40" i="3" s="1"/>
  <c r="AA40" i="3"/>
  <c r="AN40" i="3" s="1"/>
  <c r="Q18" i="3"/>
  <c r="D62" i="3"/>
  <c r="D58" i="3"/>
  <c r="U32" i="3"/>
  <c r="D57" i="3"/>
  <c r="D66" i="3"/>
  <c r="D65" i="3"/>
  <c r="D53" i="3"/>
  <c r="D69" i="3"/>
  <c r="D71" i="3"/>
  <c r="D67" i="3"/>
  <c r="D70" i="3"/>
  <c r="D64" i="3"/>
  <c r="D61" i="3"/>
  <c r="D63" i="3"/>
  <c r="D59" i="3"/>
  <c r="D60" i="3"/>
  <c r="D54" i="3"/>
  <c r="D56" i="3"/>
  <c r="D68" i="3"/>
  <c r="D55" i="3"/>
  <c r="D52" i="3"/>
  <c r="AH33" i="3"/>
  <c r="AU33" i="3" s="1"/>
  <c r="AE33" i="3"/>
  <c r="AR33" i="3" s="1"/>
  <c r="AD33" i="3"/>
  <c r="AQ33" i="3" s="1"/>
  <c r="AB33" i="3"/>
  <c r="AO33" i="3" s="1"/>
  <c r="Z33" i="3"/>
  <c r="AM33" i="3" s="1"/>
  <c r="Y33" i="3"/>
  <c r="AL33" i="3" s="1"/>
  <c r="W33" i="3"/>
  <c r="AJ33" i="3" s="1"/>
  <c r="AC33" i="3"/>
  <c r="AP33" i="3" s="1"/>
  <c r="V33" i="3"/>
  <c r="AI33" i="3" s="1"/>
  <c r="AA33" i="3"/>
  <c r="AN33" i="3" s="1"/>
  <c r="X33" i="3"/>
  <c r="AK33" i="3" s="1"/>
  <c r="AG33" i="3"/>
  <c r="AT33" i="3" s="1"/>
  <c r="AF33" i="3"/>
  <c r="AS33" i="3" s="1"/>
  <c r="L30" i="3"/>
  <c r="M30" i="3"/>
  <c r="AH47" i="3"/>
  <c r="AU47" i="3" s="1"/>
  <c r="AG47" i="3"/>
  <c r="AT47" i="3" s="1"/>
  <c r="AE47" i="3"/>
  <c r="AR47" i="3" s="1"/>
  <c r="AC47" i="3"/>
  <c r="AP47" i="3" s="1"/>
  <c r="AB47" i="3"/>
  <c r="AO47" i="3" s="1"/>
  <c r="AA47" i="3"/>
  <c r="AN47" i="3" s="1"/>
  <c r="Z47" i="3"/>
  <c r="AM47" i="3" s="1"/>
  <c r="W47" i="3"/>
  <c r="AJ47" i="3" s="1"/>
  <c r="X47" i="3"/>
  <c r="AK47" i="3" s="1"/>
  <c r="AD47" i="3"/>
  <c r="AQ47" i="3" s="1"/>
  <c r="AF47" i="3"/>
  <c r="AS47" i="3" s="1"/>
  <c r="Y47" i="3"/>
  <c r="AL47" i="3" s="1"/>
  <c r="V47" i="3"/>
  <c r="AI47" i="3" s="1"/>
  <c r="B5" i="4"/>
  <c r="B34" i="3"/>
  <c r="E11" i="4" s="1"/>
  <c r="B32" i="3"/>
  <c r="E9" i="4" s="1"/>
  <c r="B41" i="3"/>
  <c r="E18" i="4" s="1"/>
  <c r="B35" i="3"/>
  <c r="E12" i="4" s="1"/>
  <c r="B33" i="3"/>
  <c r="E10" i="4" s="1"/>
  <c r="B36" i="3"/>
  <c r="E13" i="4" s="1"/>
  <c r="B40" i="3"/>
  <c r="E17" i="4" s="1"/>
  <c r="B37" i="3"/>
  <c r="E14" i="4" s="1"/>
  <c r="B39" i="3"/>
  <c r="E16" i="4" s="1"/>
  <c r="B38" i="3"/>
  <c r="E15" i="4" s="1"/>
  <c r="N32" i="3"/>
  <c r="N35" i="3"/>
  <c r="Y49" i="3"/>
  <c r="AL49" i="3" s="1"/>
  <c r="AF49" i="3"/>
  <c r="AS49" i="3" s="1"/>
  <c r="AE49" i="3"/>
  <c r="AR49" i="3" s="1"/>
  <c r="AD49" i="3"/>
  <c r="AQ49" i="3" s="1"/>
  <c r="AC49" i="3"/>
  <c r="AP49" i="3" s="1"/>
  <c r="X49" i="3"/>
  <c r="AK49" i="3" s="1"/>
  <c r="W49" i="3"/>
  <c r="AJ49" i="3" s="1"/>
  <c r="AA49" i="3"/>
  <c r="AN49" i="3" s="1"/>
  <c r="Z49" i="3"/>
  <c r="AM49" i="3" s="1"/>
  <c r="AB49" i="3"/>
  <c r="AO49" i="3" s="1"/>
  <c r="V49" i="3"/>
  <c r="AI49" i="3" s="1"/>
  <c r="AH49" i="3"/>
  <c r="AU49" i="3" s="1"/>
  <c r="AG49" i="3"/>
  <c r="AT49" i="3" s="1"/>
  <c r="N38" i="3"/>
  <c r="E6" i="3" l="1"/>
  <c r="B46" i="3"/>
  <c r="E23" i="4" s="1"/>
  <c r="B42" i="3"/>
  <c r="E19" i="4" s="1"/>
  <c r="D5" i="4"/>
  <c r="B44" i="3"/>
  <c r="E21" i="4" s="1"/>
  <c r="B50" i="3"/>
  <c r="E27" i="4" s="1"/>
  <c r="B47" i="3"/>
  <c r="E24" i="4" s="1"/>
  <c r="B43" i="3"/>
  <c r="E20" i="4" s="1"/>
  <c r="B49" i="3"/>
  <c r="E26" i="4" s="1"/>
  <c r="B48" i="3"/>
  <c r="E25" i="4" s="1"/>
  <c r="B45" i="3"/>
  <c r="E22" i="4" s="1"/>
  <c r="BK32" i="3"/>
  <c r="BO32" i="3"/>
  <c r="BJ32" i="3"/>
  <c r="BR32" i="3"/>
  <c r="BL32" i="3"/>
  <c r="BV32" i="3"/>
  <c r="BS32" i="3"/>
  <c r="BP32" i="3"/>
  <c r="BN32" i="3"/>
  <c r="BM32" i="3"/>
  <c r="BQ32" i="3"/>
  <c r="BT32" i="3"/>
  <c r="BU32" i="3"/>
  <c r="BI32" i="3" l="1"/>
  <c r="BE32" i="3" l="1"/>
  <c r="BH32" i="3"/>
  <c r="AW32" i="3"/>
  <c r="AY32" i="3"/>
  <c r="AV32" i="3"/>
  <c r="C32" i="3" s="1"/>
  <c r="BC32" i="3"/>
  <c r="AZ32" i="3"/>
  <c r="BF32" i="3"/>
  <c r="BD32" i="3"/>
  <c r="AX32" i="3"/>
  <c r="BB32" i="3"/>
  <c r="BG32" i="3"/>
  <c r="BA32" i="3"/>
  <c r="E32" i="3" l="1"/>
  <c r="G9" i="4" s="1"/>
  <c r="D32" i="3"/>
  <c r="F5" i="4"/>
  <c r="BW20" i="3"/>
  <c r="BZ18" i="3" s="1"/>
  <c r="F9" i="4"/>
  <c r="U33" i="3"/>
  <c r="BO33" i="3"/>
  <c r="BM33" i="3"/>
  <c r="BR33" i="3"/>
  <c r="BU33" i="3"/>
  <c r="BN33" i="3"/>
  <c r="BL33" i="3"/>
  <c r="BJ33" i="3"/>
  <c r="BK33" i="3"/>
  <c r="BP33" i="3"/>
  <c r="BS33" i="3"/>
  <c r="BT33" i="3"/>
  <c r="BQ33" i="3"/>
  <c r="BV33" i="3"/>
  <c r="F32" i="3" l="1"/>
  <c r="BI33" i="3"/>
  <c r="BE33" i="3" s="1"/>
  <c r="BB33" i="3" l="1"/>
  <c r="AY33" i="3"/>
  <c r="BH33" i="3"/>
  <c r="AX33" i="3"/>
  <c r="BG33" i="3"/>
  <c r="BD33" i="3"/>
  <c r="BA33" i="3"/>
  <c r="AZ33" i="3"/>
  <c r="AW33" i="3"/>
  <c r="BF33" i="3"/>
  <c r="AV33" i="3"/>
  <c r="BC33" i="3"/>
  <c r="C33" i="3" l="1"/>
  <c r="D33" i="3" s="1"/>
  <c r="BW19" i="3" l="1"/>
  <c r="BY18" i="3" s="1"/>
  <c r="BU34" i="3"/>
  <c r="BM34" i="3"/>
  <c r="U34" i="3"/>
  <c r="BV34" i="3"/>
  <c r="E33" i="3"/>
  <c r="G10" i="4" s="1"/>
  <c r="BO34" i="3"/>
  <c r="BQ34" i="3"/>
  <c r="F10" i="4"/>
  <c r="BJ34" i="3"/>
  <c r="BK34" i="3"/>
  <c r="BT34" i="3"/>
  <c r="BP34" i="3"/>
  <c r="BN34" i="3"/>
  <c r="BR34" i="3"/>
  <c r="BS34" i="3"/>
  <c r="BL34" i="3"/>
  <c r="F33" i="3" l="1"/>
  <c r="BI34" i="3"/>
  <c r="BB34" i="3" s="1"/>
  <c r="BH34" i="3" l="1"/>
  <c r="BE34" i="3"/>
  <c r="BA34" i="3"/>
  <c r="BC34" i="3"/>
  <c r="BF34" i="3"/>
  <c r="AY34" i="3"/>
  <c r="AZ34" i="3"/>
  <c r="AX34" i="3"/>
  <c r="BG34" i="3"/>
  <c r="AV34" i="3"/>
  <c r="C34" i="3" s="1"/>
  <c r="BL35" i="3" s="1"/>
  <c r="BD34" i="3"/>
  <c r="AW34" i="3"/>
  <c r="BU35" i="3" l="1"/>
  <c r="BT35" i="3"/>
  <c r="BN35" i="3"/>
  <c r="BR35" i="3"/>
  <c r="U35" i="3"/>
  <c r="BW22" i="3"/>
  <c r="CB18" i="3" s="1"/>
  <c r="E34" i="3"/>
  <c r="G11" i="4" s="1"/>
  <c r="BV35" i="3"/>
  <c r="F11" i="4"/>
  <c r="BS35" i="3"/>
  <c r="BK35" i="3"/>
  <c r="BM35" i="3"/>
  <c r="D34" i="3"/>
  <c r="BP35" i="3"/>
  <c r="BO35" i="3"/>
  <c r="BQ35" i="3"/>
  <c r="BJ35" i="3"/>
  <c r="F34" i="3" l="1"/>
  <c r="BI35" i="3"/>
  <c r="BA35" i="3" s="1"/>
  <c r="BG35" i="3" l="1"/>
  <c r="AV35" i="3"/>
  <c r="BE35" i="3"/>
  <c r="AW35" i="3"/>
  <c r="BD35" i="3"/>
  <c r="BB35" i="3"/>
  <c r="AY35" i="3"/>
  <c r="BC35" i="3"/>
  <c r="BH35" i="3"/>
  <c r="AX35" i="3"/>
  <c r="BF35" i="3"/>
  <c r="AZ35" i="3"/>
  <c r="C35" i="3" l="1"/>
  <c r="BM36" i="3" s="1"/>
  <c r="BS36" i="3" l="1"/>
  <c r="F12" i="4"/>
  <c r="D35" i="3"/>
  <c r="E35" i="3"/>
  <c r="BJ36" i="3"/>
  <c r="BK36" i="3"/>
  <c r="BP36" i="3"/>
  <c r="BQ36" i="3"/>
  <c r="BN36" i="3"/>
  <c r="BL36" i="3"/>
  <c r="BT36" i="3"/>
  <c r="U36" i="3"/>
  <c r="BO36" i="3"/>
  <c r="BR36" i="3"/>
  <c r="BV36" i="3"/>
  <c r="BU36" i="3"/>
  <c r="G12" i="4"/>
  <c r="F35" i="3"/>
  <c r="BI36" i="3" l="1"/>
  <c r="AW36" i="3" s="1"/>
  <c r="AY36" i="3" l="1"/>
  <c r="AZ36" i="3"/>
  <c r="BH36" i="3"/>
  <c r="BB36" i="3"/>
  <c r="BC36" i="3"/>
  <c r="BE36" i="3"/>
  <c r="BG36" i="3"/>
  <c r="BA36" i="3"/>
  <c r="BD36" i="3"/>
  <c r="AV36" i="3"/>
  <c r="C36" i="3" s="1"/>
  <c r="BM37" i="3" s="1"/>
  <c r="BF36" i="3"/>
  <c r="AX36" i="3"/>
  <c r="BK37" i="3" l="1"/>
  <c r="BL37" i="3"/>
  <c r="D36" i="3"/>
  <c r="U37" i="3"/>
  <c r="BT37" i="3"/>
  <c r="E36" i="3"/>
  <c r="F13" i="4"/>
  <c r="BN37" i="3"/>
  <c r="BQ37" i="3"/>
  <c r="BJ37" i="3"/>
  <c r="BP37" i="3"/>
  <c r="BR37" i="3"/>
  <c r="BO37" i="3"/>
  <c r="BV37" i="3"/>
  <c r="BS37" i="3"/>
  <c r="BU37" i="3"/>
  <c r="G13" i="4"/>
  <c r="F36" i="3"/>
  <c r="BI37" i="3" l="1"/>
  <c r="AX37" i="3" s="1"/>
  <c r="BD37" i="3" l="1"/>
  <c r="BH37" i="3"/>
  <c r="BG37" i="3"/>
  <c r="AY37" i="3"/>
  <c r="AV37" i="3"/>
  <c r="AZ37" i="3"/>
  <c r="AW37" i="3"/>
  <c r="BB37" i="3"/>
  <c r="BA37" i="3"/>
  <c r="BC37" i="3"/>
  <c r="BE37" i="3"/>
  <c r="BF37" i="3"/>
  <c r="C37" i="3" l="1"/>
  <c r="BM38" i="3" s="1"/>
  <c r="BP38" i="3" l="1"/>
  <c r="BT38" i="3"/>
  <c r="F14" i="4"/>
  <c r="BO38" i="3"/>
  <c r="BR38" i="3"/>
  <c r="BV38" i="3"/>
  <c r="BL38" i="3"/>
  <c r="BN38" i="3"/>
  <c r="BS38" i="3"/>
  <c r="BQ38" i="3"/>
  <c r="BK38" i="3"/>
  <c r="BJ38" i="3"/>
  <c r="E37" i="3"/>
  <c r="G14" i="4" s="1"/>
  <c r="D37" i="3"/>
  <c r="U38" i="3"/>
  <c r="BU38" i="3"/>
  <c r="BI38" i="3" l="1"/>
  <c r="BA38" i="3" s="1"/>
  <c r="F37" i="3"/>
  <c r="AV38" i="3"/>
  <c r="AZ38" i="3" l="1"/>
  <c r="BF38" i="3"/>
  <c r="AX38" i="3"/>
  <c r="AW38" i="3"/>
  <c r="BG38" i="3"/>
  <c r="BD38" i="3"/>
  <c r="BH38" i="3"/>
  <c r="AY38" i="3"/>
  <c r="BC38" i="3"/>
  <c r="BB38" i="3"/>
  <c r="BE38" i="3"/>
  <c r="C38" i="3" l="1"/>
  <c r="U39" i="3" s="1"/>
  <c r="D38" i="3"/>
  <c r="F15" i="4" l="1"/>
  <c r="BR39" i="3"/>
  <c r="BM39" i="3"/>
  <c r="BS39" i="3"/>
  <c r="BP39" i="3"/>
  <c r="BQ39" i="3"/>
  <c r="BJ39" i="3"/>
  <c r="BV39" i="3"/>
  <c r="BU39" i="3"/>
  <c r="BK39" i="3"/>
  <c r="E38" i="3"/>
  <c r="BT39" i="3"/>
  <c r="BN39" i="3"/>
  <c r="BO39" i="3"/>
  <c r="BL39" i="3"/>
  <c r="BI39" i="3"/>
  <c r="AV39" i="3" s="1"/>
  <c r="G15" i="4"/>
  <c r="F38" i="3"/>
  <c r="BB39" i="3" l="1"/>
  <c r="AZ39" i="3"/>
  <c r="AW39" i="3"/>
  <c r="BE39" i="3"/>
  <c r="BD39" i="3"/>
  <c r="BC39" i="3"/>
  <c r="AX39" i="3"/>
  <c r="BG39" i="3"/>
  <c r="BA39" i="3"/>
  <c r="BF39" i="3"/>
  <c r="BH39" i="3"/>
  <c r="AY39" i="3"/>
  <c r="C39" i="3" l="1"/>
  <c r="BQ40" i="3" s="1"/>
  <c r="F16" i="4"/>
  <c r="BJ40" i="3"/>
  <c r="U40" i="3"/>
  <c r="BM40" i="3" l="1"/>
  <c r="BP40" i="3"/>
  <c r="BN40" i="3"/>
  <c r="BK40" i="3"/>
  <c r="BO40" i="3"/>
  <c r="BU40" i="3"/>
  <c r="D39" i="3"/>
  <c r="BR40" i="3"/>
  <c r="BV40" i="3"/>
  <c r="BS40" i="3"/>
  <c r="BT40" i="3"/>
  <c r="BL40" i="3"/>
  <c r="E39" i="3"/>
  <c r="BI40" i="3"/>
  <c r="G16" i="4"/>
  <c r="F39" i="3"/>
  <c r="AW40" i="3" l="1"/>
  <c r="AX40" i="3"/>
  <c r="BB40" i="3"/>
  <c r="BD40" i="3"/>
  <c r="BG40" i="3"/>
  <c r="BE40" i="3"/>
  <c r="AZ40" i="3"/>
  <c r="BA40" i="3"/>
  <c r="AY40" i="3"/>
  <c r="BC40" i="3"/>
  <c r="AV40" i="3"/>
  <c r="C40" i="3" s="1"/>
  <c r="BO41" i="3" s="1"/>
  <c r="BF40" i="3"/>
  <c r="BH40" i="3"/>
  <c r="BU41" i="3" l="1"/>
  <c r="BP41" i="3"/>
  <c r="F17" i="4"/>
  <c r="BV41" i="3"/>
  <c r="BN41" i="3"/>
  <c r="BT41" i="3"/>
  <c r="U41" i="3"/>
  <c r="BR41" i="3"/>
  <c r="BL41" i="3"/>
  <c r="E40" i="3"/>
  <c r="G17" i="4" s="1"/>
  <c r="D40" i="3"/>
  <c r="BQ41" i="3"/>
  <c r="BM41" i="3"/>
  <c r="BS41" i="3"/>
  <c r="BJ41" i="3"/>
  <c r="BK41" i="3"/>
  <c r="BI41" i="3" l="1"/>
  <c r="BG41" i="3" s="1"/>
  <c r="AW41" i="3"/>
  <c r="F40" i="3"/>
  <c r="AY41" i="3"/>
  <c r="AV41" i="3"/>
  <c r="BA41" i="3"/>
  <c r="BB41" i="3" l="1"/>
  <c r="BF41" i="3"/>
  <c r="BD41" i="3"/>
  <c r="BE41" i="3"/>
  <c r="AX41" i="3"/>
  <c r="AZ41" i="3"/>
  <c r="BC41" i="3"/>
  <c r="BH41" i="3"/>
  <c r="C41" i="3"/>
  <c r="BR42" i="3" s="1"/>
  <c r="U42" i="3"/>
  <c r="E41" i="3"/>
  <c r="G18" i="4" s="1"/>
  <c r="D41" i="3"/>
  <c r="BV42" i="3"/>
  <c r="BU42" i="3"/>
  <c r="BP42" i="3"/>
  <c r="BM42" i="3"/>
  <c r="BQ42" i="3"/>
  <c r="BS42" i="3"/>
  <c r="BJ42" i="3"/>
  <c r="BK42" i="3"/>
  <c r="BT42" i="3" l="1"/>
  <c r="BL42" i="3"/>
  <c r="BN42" i="3"/>
  <c r="F18" i="4"/>
  <c r="BO42" i="3"/>
  <c r="BI42" i="3" s="1"/>
  <c r="BB42" i="3" s="1"/>
  <c r="F41" i="3"/>
  <c r="BG42" i="3" l="1"/>
  <c r="BH42" i="3"/>
  <c r="AW42" i="3"/>
  <c r="BD42" i="3"/>
  <c r="AY42" i="3"/>
  <c r="BA42" i="3"/>
  <c r="BC42" i="3"/>
  <c r="AZ42" i="3"/>
  <c r="AX42" i="3"/>
  <c r="BF42" i="3"/>
  <c r="AV42" i="3"/>
  <c r="BE42" i="3"/>
  <c r="C42" i="3" l="1"/>
  <c r="E42" i="3" s="1"/>
  <c r="G19" i="4" s="1"/>
  <c r="U43" i="3" l="1"/>
  <c r="BR43" i="3"/>
  <c r="BK43" i="3"/>
  <c r="BM43" i="3"/>
  <c r="F42" i="3"/>
  <c r="BQ43" i="3"/>
  <c r="F19" i="4"/>
  <c r="BU43" i="3"/>
  <c r="BS43" i="3"/>
  <c r="BL43" i="3"/>
  <c r="BP43" i="3"/>
  <c r="BT43" i="3"/>
  <c r="D42" i="3"/>
  <c r="BJ43" i="3"/>
  <c r="BI43" i="3" s="1"/>
  <c r="BE43" i="3" s="1"/>
  <c r="BN43" i="3"/>
  <c r="BO43" i="3"/>
  <c r="BV43" i="3"/>
  <c r="AV43" i="3" l="1"/>
  <c r="BH43" i="3"/>
  <c r="BC43" i="3"/>
  <c r="AX43" i="3"/>
  <c r="BA43" i="3"/>
  <c r="BD43" i="3"/>
  <c r="BG43" i="3"/>
  <c r="AZ43" i="3"/>
  <c r="BF43" i="3"/>
  <c r="AY43" i="3"/>
  <c r="BB43" i="3"/>
  <c r="AW43" i="3"/>
  <c r="C43" i="3" l="1"/>
  <c r="BU44" i="3" s="1"/>
  <c r="U44" i="3" l="1"/>
  <c r="BT44" i="3"/>
  <c r="BR44" i="3"/>
  <c r="BO44" i="3"/>
  <c r="BL44" i="3"/>
  <c r="BN44" i="3"/>
  <c r="BJ44" i="3"/>
  <c r="BP44" i="3"/>
  <c r="BK44" i="3"/>
  <c r="F20" i="4"/>
  <c r="BM44" i="3"/>
  <c r="BQ44" i="3"/>
  <c r="BV44" i="3"/>
  <c r="BS44" i="3"/>
  <c r="E43" i="3"/>
  <c r="G20" i="4" s="1"/>
  <c r="D43" i="3"/>
  <c r="F43" i="3" l="1"/>
  <c r="BI44" i="3"/>
  <c r="BE44" i="3" s="1"/>
  <c r="BA44" i="3"/>
  <c r="AY44" i="3"/>
  <c r="AX44" i="3"/>
  <c r="BB44" i="3"/>
  <c r="BC44" i="3"/>
  <c r="AW44" i="3" l="1"/>
  <c r="BF44" i="3"/>
  <c r="BG44" i="3"/>
  <c r="AV44" i="3"/>
  <c r="C44" i="3" s="1"/>
  <c r="BD44" i="3"/>
  <c r="AZ44" i="3"/>
  <c r="BH44" i="3"/>
  <c r="D44" i="3" l="1"/>
  <c r="E44" i="3"/>
  <c r="G21" i="4" s="1"/>
  <c r="F21" i="4"/>
  <c r="BQ45" i="3"/>
  <c r="BJ45" i="3"/>
  <c r="BO45" i="3"/>
  <c r="BR45" i="3"/>
  <c r="BS45" i="3"/>
  <c r="BM45" i="3"/>
  <c r="BV45" i="3"/>
  <c r="BK45" i="3"/>
  <c r="BL45" i="3"/>
  <c r="BN45" i="3"/>
  <c r="BP45" i="3"/>
  <c r="BU45" i="3"/>
  <c r="BT45" i="3"/>
  <c r="U45" i="3"/>
  <c r="BI45" i="3" l="1"/>
  <c r="F44" i="3"/>
  <c r="AX45" i="3" l="1"/>
  <c r="BA45" i="3"/>
  <c r="BF45" i="3"/>
  <c r="AZ45" i="3"/>
  <c r="AW45" i="3"/>
  <c r="BB45" i="3"/>
  <c r="BH45" i="3"/>
  <c r="AY45" i="3"/>
  <c r="BD45" i="3"/>
  <c r="BG45" i="3"/>
  <c r="AV45" i="3"/>
  <c r="BC45" i="3"/>
  <c r="BE45" i="3"/>
  <c r="C45" i="3" l="1"/>
  <c r="E45" i="3" s="1"/>
  <c r="G22" i="4" s="1"/>
  <c r="U46" i="3"/>
  <c r="BM46" i="3" l="1"/>
  <c r="BL46" i="3"/>
  <c r="BT46" i="3"/>
  <c r="BO46" i="3"/>
  <c r="BJ46" i="3"/>
  <c r="BV46" i="3"/>
  <c r="BU46" i="3"/>
  <c r="BK46" i="3"/>
  <c r="BR46" i="3"/>
  <c r="BP46" i="3"/>
  <c r="BS46" i="3"/>
  <c r="BN46" i="3"/>
  <c r="BQ46" i="3"/>
  <c r="F22" i="4"/>
  <c r="D45" i="3"/>
  <c r="BI46" i="3"/>
  <c r="F45" i="3"/>
  <c r="BW27" i="3"/>
  <c r="CG18" i="3" s="1"/>
  <c r="BW26" i="3"/>
  <c r="CF18" i="3" s="1"/>
  <c r="I42" i="3"/>
  <c r="I41" i="3"/>
  <c r="BW25" i="3"/>
  <c r="CE18" i="3" s="1"/>
  <c r="BW21" i="3"/>
  <c r="CA18" i="3" s="1"/>
  <c r="BW24" i="3"/>
  <c r="CD18" i="3" s="1"/>
  <c r="BW28" i="3"/>
  <c r="CH18" i="3" s="1"/>
  <c r="BW23" i="3"/>
  <c r="CC18" i="3" s="1"/>
  <c r="BW18" i="3"/>
  <c r="BX18" i="3" s="1"/>
  <c r="BG46" i="3" l="1"/>
  <c r="AY46" i="3"/>
  <c r="AW46" i="3"/>
  <c r="BF46" i="3"/>
  <c r="BA46" i="3"/>
  <c r="BB46" i="3"/>
  <c r="BC46" i="3"/>
  <c r="BH46" i="3"/>
  <c r="AV46" i="3"/>
  <c r="AX46" i="3"/>
  <c r="BE46" i="3"/>
  <c r="BD46" i="3"/>
  <c r="AZ46" i="3"/>
  <c r="K18" i="3"/>
  <c r="CC19" i="3" s="1"/>
  <c r="J41" i="3"/>
  <c r="L41" i="3"/>
  <c r="K41" i="3"/>
  <c r="K42" i="3"/>
  <c r="L42" i="3"/>
  <c r="J42" i="3"/>
  <c r="I50" i="3"/>
  <c r="C46" i="3" l="1"/>
  <c r="BQ47" i="3" s="1"/>
  <c r="CJ19" i="3"/>
  <c r="BZ19" i="3"/>
  <c r="B9" i="4"/>
  <c r="CI19" i="3"/>
  <c r="CD19" i="3"/>
  <c r="M18" i="3"/>
  <c r="BY19" i="3"/>
  <c r="CH19" i="3"/>
  <c r="CA19" i="3"/>
  <c r="CB19" i="3"/>
  <c r="CE19" i="3"/>
  <c r="CF19" i="3"/>
  <c r="CG19" i="3"/>
  <c r="BX19" i="3"/>
  <c r="BN47" i="3" l="1"/>
  <c r="U47" i="3"/>
  <c r="BM47" i="3"/>
  <c r="BP47" i="3"/>
  <c r="BT47" i="3"/>
  <c r="BV47" i="3"/>
  <c r="BJ47" i="3"/>
  <c r="BO47" i="3"/>
  <c r="E46" i="3"/>
  <c r="G23" i="4" s="1"/>
  <c r="F23" i="4"/>
  <c r="BK47" i="3"/>
  <c r="BR47" i="3"/>
  <c r="BS47" i="3"/>
  <c r="BL47" i="3"/>
  <c r="BU47" i="3"/>
  <c r="D46" i="3"/>
  <c r="K19" i="3"/>
  <c r="CC20" i="3" s="1"/>
  <c r="BI47" i="3" l="1"/>
  <c r="BG47" i="3" s="1"/>
  <c r="F46" i="3"/>
  <c r="AX47" i="3"/>
  <c r="BA47" i="3"/>
  <c r="CG20" i="3"/>
  <c r="CI20" i="3"/>
  <c r="CB20" i="3"/>
  <c r="BX20" i="3"/>
  <c r="CD20" i="3"/>
  <c r="CA20" i="3"/>
  <c r="B10" i="4"/>
  <c r="M19" i="3"/>
  <c r="AZ47" i="3"/>
  <c r="CE20" i="3"/>
  <c r="BY20" i="3"/>
  <c r="CJ20" i="3"/>
  <c r="BZ20" i="3"/>
  <c r="CH20" i="3"/>
  <c r="CF20" i="3"/>
  <c r="AV47" i="3" l="1"/>
  <c r="AW47" i="3"/>
  <c r="BB47" i="3"/>
  <c r="BH47" i="3"/>
  <c r="BD47" i="3"/>
  <c r="AY47" i="3"/>
  <c r="BF47" i="3"/>
  <c r="BC47" i="3"/>
  <c r="BE47" i="3"/>
  <c r="C47" i="3"/>
  <c r="K20" i="3"/>
  <c r="M20" i="3" s="1"/>
  <c r="CC21" i="3" l="1"/>
  <c r="CJ21" i="3"/>
  <c r="CH21" i="3"/>
  <c r="CD21" i="3"/>
  <c r="CI21" i="3"/>
  <c r="CE21" i="3"/>
  <c r="CB21" i="3"/>
  <c r="BZ21" i="3"/>
  <c r="CG21" i="3"/>
  <c r="BJ48" i="3"/>
  <c r="D47" i="3"/>
  <c r="BR48" i="3"/>
  <c r="BP48" i="3"/>
  <c r="BK48" i="3"/>
  <c r="E47" i="3"/>
  <c r="F24" i="4"/>
  <c r="BT48" i="3"/>
  <c r="BV48" i="3"/>
  <c r="BQ48" i="3"/>
  <c r="BO48" i="3"/>
  <c r="BN48" i="3"/>
  <c r="BS48" i="3"/>
  <c r="BM48" i="3"/>
  <c r="BL48" i="3"/>
  <c r="U48" i="3"/>
  <c r="BU48" i="3"/>
  <c r="BX21" i="3"/>
  <c r="CA21" i="3"/>
  <c r="BY21" i="3"/>
  <c r="CF21" i="3"/>
  <c r="B11" i="4"/>
  <c r="BI48" i="3" l="1"/>
  <c r="BE48" i="3" s="1"/>
  <c r="G24" i="4"/>
  <c r="F47" i="3"/>
  <c r="K21" i="3"/>
  <c r="BY22" i="3" s="1"/>
  <c r="AW48" i="3" l="1"/>
  <c r="AV48" i="3"/>
  <c r="BH48" i="3"/>
  <c r="BA48" i="3"/>
  <c r="BF48" i="3"/>
  <c r="BC48" i="3"/>
  <c r="BD48" i="3"/>
  <c r="AY48" i="3"/>
  <c r="BG48" i="3"/>
  <c r="AX48" i="3"/>
  <c r="BB48" i="3"/>
  <c r="AZ48" i="3"/>
  <c r="CJ22" i="3"/>
  <c r="CH22" i="3"/>
  <c r="CI22" i="3"/>
  <c r="CA22" i="3"/>
  <c r="CC22" i="3"/>
  <c r="CF22" i="3"/>
  <c r="CB22" i="3"/>
  <c r="CE22" i="3"/>
  <c r="BX22" i="3"/>
  <c r="BZ22" i="3"/>
  <c r="CG22" i="3"/>
  <c r="B12" i="4"/>
  <c r="M21" i="3"/>
  <c r="CD22" i="3"/>
  <c r="C48" i="3" l="1"/>
  <c r="BQ49" i="3" s="1"/>
  <c r="F25" i="4"/>
  <c r="BJ49" i="3"/>
  <c r="U49" i="3"/>
  <c r="K22" i="3"/>
  <c r="M22" i="3" s="1"/>
  <c r="BL49" i="3" l="1"/>
  <c r="BI49" i="3" s="1"/>
  <c r="AX49" i="3" s="1"/>
  <c r="BN49" i="3"/>
  <c r="E48" i="3"/>
  <c r="G25" i="4" s="1"/>
  <c r="BP49" i="3"/>
  <c r="BV49" i="3"/>
  <c r="BM49" i="3"/>
  <c r="D48" i="3"/>
  <c r="BR49" i="3"/>
  <c r="BT49" i="3"/>
  <c r="BO49" i="3"/>
  <c r="BU49" i="3"/>
  <c r="BK49" i="3"/>
  <c r="BS49" i="3"/>
  <c r="CD23" i="3"/>
  <c r="CA23" i="3"/>
  <c r="CH23" i="3"/>
  <c r="CC23" i="3"/>
  <c r="CF23" i="3"/>
  <c r="CB23" i="3"/>
  <c r="B13" i="4"/>
  <c r="CG23" i="3"/>
  <c r="BY23" i="3"/>
  <c r="CI23" i="3"/>
  <c r="CJ23" i="3"/>
  <c r="CE23" i="3"/>
  <c r="BX23" i="3"/>
  <c r="BZ23" i="3"/>
  <c r="F48" i="3" l="1"/>
  <c r="BF49" i="3"/>
  <c r="AV49" i="3"/>
  <c r="C49" i="3" s="1"/>
  <c r="E49" i="3" s="1"/>
  <c r="G26" i="4" s="1"/>
  <c r="BH49" i="3"/>
  <c r="BA49" i="3"/>
  <c r="BC49" i="3"/>
  <c r="BE49" i="3"/>
  <c r="AZ49" i="3"/>
  <c r="BG49" i="3"/>
  <c r="AW49" i="3"/>
  <c r="AY49" i="3"/>
  <c r="BB49" i="3"/>
  <c r="BD49" i="3"/>
  <c r="K23" i="3"/>
  <c r="CG24" i="3" s="1"/>
  <c r="B14" i="4" l="1"/>
  <c r="BL50" i="3"/>
  <c r="BS50" i="3"/>
  <c r="BJ50" i="3"/>
  <c r="U50" i="3"/>
  <c r="BV50" i="3"/>
  <c r="BU50" i="3"/>
  <c r="BP50" i="3"/>
  <c r="BK50" i="3"/>
  <c r="BM50" i="3"/>
  <c r="BQ50" i="3"/>
  <c r="F49" i="3"/>
  <c r="BR50" i="3"/>
  <c r="F26" i="4"/>
  <c r="D49" i="3"/>
  <c r="BN50" i="3"/>
  <c r="BT50" i="3"/>
  <c r="BO50" i="3"/>
  <c r="M23" i="3"/>
  <c r="CF24" i="3"/>
  <c r="CI24" i="3"/>
  <c r="CC24" i="3"/>
  <c r="CH24" i="3"/>
  <c r="CA24" i="3"/>
  <c r="CE24" i="3"/>
  <c r="BX24" i="3"/>
  <c r="BY24" i="3"/>
  <c r="BZ24" i="3"/>
  <c r="CJ24" i="3"/>
  <c r="CB24" i="3"/>
  <c r="CD24" i="3"/>
  <c r="BI50" i="3" l="1"/>
  <c r="AX50" i="3" s="1"/>
  <c r="K24" i="3"/>
  <c r="B15" i="4" s="1"/>
  <c r="BC50" i="3" l="1"/>
  <c r="BD50" i="3"/>
  <c r="AW50" i="3"/>
  <c r="BH50" i="3"/>
  <c r="BG50" i="3"/>
  <c r="BY25" i="3"/>
  <c r="CG25" i="3"/>
  <c r="CH25" i="3"/>
  <c r="CF25" i="3"/>
  <c r="BX25" i="3"/>
  <c r="CB25" i="3"/>
  <c r="CD25" i="3"/>
  <c r="CA25" i="3"/>
  <c r="BE50" i="3"/>
  <c r="AZ50" i="3"/>
  <c r="BF50" i="3"/>
  <c r="BA50" i="3"/>
  <c r="BB50" i="3"/>
  <c r="AV50" i="3"/>
  <c r="C50" i="3" s="1"/>
  <c r="AY50" i="3"/>
  <c r="CC25" i="3"/>
  <c r="CJ25" i="3"/>
  <c r="CI25" i="3"/>
  <c r="BZ25" i="3"/>
  <c r="M24" i="3"/>
  <c r="CE25" i="3"/>
  <c r="K25" i="3" l="1"/>
  <c r="BZ26" i="3" s="1"/>
  <c r="U51" i="3"/>
  <c r="BK51" i="3"/>
  <c r="E50" i="3"/>
  <c r="D50" i="3"/>
  <c r="BV51" i="3"/>
  <c r="BS51" i="3"/>
  <c r="BR51" i="3"/>
  <c r="BL51" i="3"/>
  <c r="BO51" i="3"/>
  <c r="BJ51" i="3"/>
  <c r="BM51" i="3"/>
  <c r="BQ51" i="3"/>
  <c r="BU51" i="3"/>
  <c r="F27" i="4"/>
  <c r="BT51" i="3"/>
  <c r="BP51" i="3"/>
  <c r="BN51" i="3"/>
  <c r="CF26" i="3" l="1"/>
  <c r="BX26" i="3"/>
  <c r="CE26" i="3"/>
  <c r="BY26" i="3"/>
  <c r="CA26" i="3"/>
  <c r="CD26" i="3"/>
  <c r="CC26" i="3"/>
  <c r="CG26" i="3"/>
  <c r="CJ26" i="3"/>
  <c r="CB26" i="3"/>
  <c r="CI26" i="3"/>
  <c r="CH26" i="3"/>
  <c r="B16" i="4"/>
  <c r="M25" i="3"/>
  <c r="G27" i="4"/>
  <c r="F50" i="3"/>
  <c r="BI51" i="3"/>
  <c r="K26" i="3"/>
  <c r="BA51" i="3" l="1"/>
  <c r="AZ51" i="3"/>
  <c r="BF51" i="3"/>
  <c r="AW51" i="3"/>
  <c r="BD51" i="3"/>
  <c r="BC51" i="3"/>
  <c r="BH51" i="3"/>
  <c r="AY51" i="3"/>
  <c r="AV51" i="3"/>
  <c r="C51" i="3" s="1"/>
  <c r="BG51" i="3"/>
  <c r="BB51" i="3"/>
  <c r="BE51" i="3"/>
  <c r="AX51" i="3"/>
  <c r="M26" i="3"/>
  <c r="B17" i="4"/>
  <c r="CA27" i="3"/>
  <c r="CG27" i="3"/>
  <c r="BX27" i="3"/>
  <c r="BY27" i="3"/>
  <c r="BZ27" i="3"/>
  <c r="CH27" i="3"/>
  <c r="CD27" i="3"/>
  <c r="CF27" i="3"/>
  <c r="CI27" i="3"/>
  <c r="CC27" i="3"/>
  <c r="CJ27" i="3"/>
  <c r="CB27" i="3"/>
  <c r="CE27" i="3"/>
  <c r="I40" i="3" l="1"/>
  <c r="U56" i="3"/>
  <c r="BI56" i="3" s="1"/>
  <c r="U62" i="3"/>
  <c r="BI62" i="3" s="1"/>
  <c r="I38" i="3"/>
  <c r="E51" i="3"/>
  <c r="D51" i="3"/>
  <c r="U68" i="3"/>
  <c r="BI68" i="3" s="1"/>
  <c r="U53" i="3"/>
  <c r="BI53" i="3" s="1"/>
  <c r="I34" i="3"/>
  <c r="U63" i="3"/>
  <c r="BI63" i="3" s="1"/>
  <c r="I36" i="3"/>
  <c r="U66" i="3"/>
  <c r="BI66" i="3" s="1"/>
  <c r="I33" i="3"/>
  <c r="U70" i="3"/>
  <c r="BI70" i="3" s="1"/>
  <c r="U65" i="3"/>
  <c r="BI65" i="3" s="1"/>
  <c r="U59" i="3"/>
  <c r="BI59" i="3" s="1"/>
  <c r="U54" i="3"/>
  <c r="BI54" i="3" s="1"/>
  <c r="I39" i="3"/>
  <c r="F28" i="4"/>
  <c r="I48" i="3"/>
  <c r="I37" i="3"/>
  <c r="I35" i="3"/>
  <c r="U57" i="3"/>
  <c r="BI57" i="3" s="1"/>
  <c r="I32" i="3"/>
  <c r="U64" i="3"/>
  <c r="BI64" i="3" s="1"/>
  <c r="U61" i="3"/>
  <c r="BI61" i="3" s="1"/>
  <c r="U52" i="3"/>
  <c r="BI52" i="3" s="1"/>
  <c r="U69" i="3"/>
  <c r="BI69" i="3" s="1"/>
  <c r="U71" i="3"/>
  <c r="BI71" i="3" s="1"/>
  <c r="U60" i="3"/>
  <c r="BI60" i="3" s="1"/>
  <c r="U67" i="3"/>
  <c r="BI67" i="3" s="1"/>
  <c r="U55" i="3"/>
  <c r="BI55" i="3" s="1"/>
  <c r="U58" i="3"/>
  <c r="BI58" i="3" s="1"/>
  <c r="K27" i="3"/>
  <c r="K35" i="3" l="1"/>
  <c r="J35" i="3"/>
  <c r="L35" i="3"/>
  <c r="J37" i="3"/>
  <c r="L37" i="3"/>
  <c r="K37" i="3"/>
  <c r="L39" i="3"/>
  <c r="J39" i="3"/>
  <c r="K39" i="3"/>
  <c r="K33" i="3"/>
  <c r="J33" i="3"/>
  <c r="L33" i="3"/>
  <c r="J36" i="3"/>
  <c r="L36" i="3"/>
  <c r="K36" i="3"/>
  <c r="L34" i="3"/>
  <c r="K34" i="3"/>
  <c r="J34" i="3"/>
  <c r="G28" i="4"/>
  <c r="F51" i="3"/>
  <c r="I49" i="3" s="1"/>
  <c r="J38" i="3"/>
  <c r="K38" i="3"/>
  <c r="L38" i="3"/>
  <c r="K32" i="3"/>
  <c r="J32" i="3"/>
  <c r="L32" i="3"/>
  <c r="J40" i="3"/>
  <c r="K40" i="3"/>
  <c r="L40" i="3"/>
  <c r="M27" i="3"/>
  <c r="B18" i="4"/>
  <c r="CB28" i="3"/>
  <c r="BZ28" i="3"/>
  <c r="CJ28" i="3"/>
  <c r="CD28" i="3"/>
  <c r="CF28" i="3"/>
  <c r="CI28" i="3"/>
  <c r="BX28" i="3"/>
  <c r="CE28" i="3"/>
  <c r="CH28" i="3"/>
  <c r="CC28" i="3"/>
  <c r="CA28" i="3"/>
  <c r="CG28" i="3"/>
  <c r="BY28" i="3"/>
  <c r="K28" i="3" l="1"/>
  <c r="M28" i="3" l="1"/>
  <c r="L28" i="3"/>
  <c r="B19" i="4"/>
  <c r="CF29" i="3"/>
  <c r="CH29" i="3"/>
  <c r="BX30" i="3"/>
  <c r="CC30" i="3"/>
  <c r="BX29" i="3"/>
  <c r="CJ30" i="3"/>
  <c r="CA30" i="3"/>
  <c r="CA29" i="3"/>
  <c r="CB29" i="3"/>
  <c r="BZ29" i="3"/>
  <c r="CB30" i="3"/>
  <c r="CI29" i="3"/>
  <c r="CF30" i="3"/>
  <c r="BY29" i="3"/>
  <c r="CJ29" i="3"/>
  <c r="CD29" i="3"/>
  <c r="BY30" i="3"/>
  <c r="CG29" i="3"/>
  <c r="CE30" i="3"/>
  <c r="BZ30" i="3"/>
  <c r="CD30" i="3"/>
  <c r="CC29" i="3"/>
  <c r="CH30" i="3"/>
  <c r="I47" i="3"/>
  <c r="CE29" i="3"/>
  <c r="CI30" i="3"/>
  <c r="CG30" i="3"/>
  <c r="L18" i="3"/>
  <c r="L19" i="3"/>
  <c r="L20" i="3"/>
  <c r="L21" i="3"/>
  <c r="L22" i="3"/>
  <c r="L27" i="3"/>
  <c r="L26" i="3"/>
  <c r="L23" i="3"/>
  <c r="L25" i="3"/>
  <c r="L24" i="3"/>
  <c r="I46" i="3" l="1"/>
</calcChain>
</file>

<file path=xl/sharedStrings.xml><?xml version="1.0" encoding="utf-8"?>
<sst xmlns="http://schemas.openxmlformats.org/spreadsheetml/2006/main" count="649" uniqueCount="320">
  <si>
    <t>Cricket Rotation Tool Setup</t>
  </si>
  <si>
    <t>Competition Stage</t>
  </si>
  <si>
    <t>Roster And Weekly Eligibility</t>
  </si>
  <si>
    <t>Planner Mode</t>
  </si>
  <si>
    <t>Weekly</t>
  </si>
  <si>
    <t>Use the weekly sheet to name this week’s side; away players can simply be left off.</t>
  </si>
  <si>
    <t>Number of Players</t>
  </si>
  <si>
    <t>Bat From / Bat To controls nominated batting ranges such as 1-6, 6-13, or all positions.</t>
  </si>
  <si>
    <t>Overs</t>
  </si>
  <si>
    <t>Bowler and Keeper eligibility feed the weekly checks and over-by-over planner.</t>
  </si>
  <si>
    <t>Max Overs Per Bowler</t>
  </si>
  <si>
    <t>Stage 2/3 audits read the Season Log and count unique batting and bowling positions before and after mid-season.</t>
  </si>
  <si>
    <t>Spell Mode</t>
  </si>
  <si>
    <t>One at a time</t>
  </si>
  <si>
    <t>Finals can be marked as Finals in the log; rotation audits ignore finals matches.</t>
  </si>
  <si>
    <t>Round Number</t>
  </si>
  <si>
    <t>Stage 3 supports 20, 30, 35 and 40 over games; Stage 2 supports 20, 30 and 35 by selected settings.</t>
  </si>
  <si>
    <t>Mid-Season Break After Game</t>
  </si>
  <si>
    <t>Spell Mode: one at a time cycles through bowlers; two/three-over spell lets a bowler return at the same end, e.g. overs 1, 3 and 5.</t>
  </si>
  <si>
    <t>Match Type</t>
  </si>
  <si>
    <t>Home &amp; Away</t>
  </si>
  <si>
    <t>The planner flags conflicts; coaches can still override for real match conditions.</t>
  </si>
  <si>
    <t>WK Switch After Over</t>
  </si>
  <si>
    <t>Early Cap Before All Bowl 2</t>
  </si>
  <si>
    <t>Minimum Overs Target Per Player</t>
  </si>
  <si>
    <t>Competition</t>
  </si>
  <si>
    <t>Year 7 Boys</t>
  </si>
  <si>
    <t>Player Count Rule</t>
  </si>
  <si>
    <t>Roster Slot</t>
  </si>
  <si>
    <t>Player Name</t>
  </si>
  <si>
    <t>Active?</t>
  </si>
  <si>
    <t>Bat From</t>
  </si>
  <si>
    <t>Bat To</t>
  </si>
  <si>
    <t>Bowler?</t>
  </si>
  <si>
    <t>Keeper?</t>
  </si>
  <si>
    <t>Notes</t>
  </si>
  <si>
    <t>Keeper Rank</t>
  </si>
  <si>
    <t>Active Rank</t>
  </si>
  <si>
    <t>Yes</t>
  </si>
  <si>
    <t>No</t>
  </si>
  <si>
    <t>Player 12</t>
  </si>
  <si>
    <t>Player 13</t>
  </si>
  <si>
    <t>Player 14</t>
  </si>
  <si>
    <t>Season Fixture</t>
  </si>
  <si>
    <t>Team Name</t>
  </si>
  <si>
    <t>Game</t>
  </si>
  <si>
    <t>Date</t>
  </si>
  <si>
    <t>Opposition</t>
  </si>
  <si>
    <t>Location</t>
  </si>
  <si>
    <t>Fixture Notes</t>
  </si>
  <si>
    <t>Enter each round's date, opposition and game location here. The Match Day Summary uses the selected Game Number from Setup / Weekly Planner.</t>
  </si>
  <si>
    <t>Weekly Rotation Planner</t>
  </si>
  <si>
    <t>Stage</t>
  </si>
  <si>
    <t>Wicket Keepers</t>
  </si>
  <si>
    <t>Game Number</t>
  </si>
  <si>
    <t>WK 1</t>
  </si>
  <si>
    <t>Keeps</t>
  </si>
  <si>
    <t>WK 2</t>
  </si>
  <si>
    <t>Max Overs</t>
  </si>
  <si>
    <t>Keeper Check</t>
  </si>
  <si>
    <t>Early Cap</t>
  </si>
  <si>
    <t>Named Player Count</t>
  </si>
  <si>
    <t>Capacity Check</t>
  </si>
  <si>
    <t>Bowling Minimum</t>
  </si>
  <si>
    <t>Overs Note</t>
  </si>
  <si>
    <t>Slot</t>
  </si>
  <si>
    <t>Named Player</t>
  </si>
  <si>
    <t>Prev DNB?</t>
  </si>
  <si>
    <t>Prev DNBowl?</t>
  </si>
  <si>
    <t>Bat Pos</t>
  </si>
  <si>
    <t>Player</t>
  </si>
  <si>
    <t>Checks</t>
  </si>
  <si>
    <t>History Aim</t>
  </si>
  <si>
    <t>Bowl Pos</t>
  </si>
  <si>
    <t>First Bowl Score</t>
  </si>
  <si>
    <t>Bat Cand 1</t>
  </si>
  <si>
    <t>Bat Cand 2</t>
  </si>
  <si>
    <t>Bat Cand 3</t>
  </si>
  <si>
    <t>Bat Cand 4</t>
  </si>
  <si>
    <t>Bat Cand 5</t>
  </si>
  <si>
    <t>Bat Cand 6</t>
  </si>
  <si>
    <t>Bat Cand 7</t>
  </si>
  <si>
    <t>Bat Cand 8</t>
  </si>
  <si>
    <t>Bat Cand 9</t>
  </si>
  <si>
    <t>Bat Cand 10</t>
  </si>
  <si>
    <t>Bat Cand 11</t>
  </si>
  <si>
    <t>Bat Cand 12</t>
  </si>
  <si>
    <t>Bat Cand 13</t>
  </si>
  <si>
    <t>Over</t>
  </si>
  <si>
    <t>Keeper</t>
  </si>
  <si>
    <t>Bowler</t>
  </si>
  <si>
    <t>Bowler Over #</t>
  </si>
  <si>
    <t>Flags</t>
  </si>
  <si>
    <t>Max OK</t>
  </si>
  <si>
    <t>Min OK</t>
  </si>
  <si>
    <t>Bowled?</t>
  </si>
  <si>
    <t>Rotation Note</t>
  </si>
  <si>
    <t>Required Next?</t>
  </si>
  <si>
    <t>Preferred Pos</t>
  </si>
  <si>
    <t>Gate Met</t>
  </si>
  <si>
    <t>Cand Pos 1</t>
  </si>
  <si>
    <t>Cand Pos 2</t>
  </si>
  <si>
    <t>Cand Pos 3</t>
  </si>
  <si>
    <t>Cand Pos 4</t>
  </si>
  <si>
    <t>Cand Pos 5</t>
  </si>
  <si>
    <t>Cand Pos 6</t>
  </si>
  <si>
    <t>Cand Pos 7</t>
  </si>
  <si>
    <t>Cand Pos 8</t>
  </si>
  <si>
    <t>Cand Pos 9</t>
  </si>
  <si>
    <t>Cand Pos 10</t>
  </si>
  <si>
    <t>Cand Pos 11</t>
  </si>
  <si>
    <t>Cand Pos 12</t>
  </si>
  <si>
    <t>Cand Pos 13</t>
  </si>
  <si>
    <t>Cand Player 1</t>
  </si>
  <si>
    <t>Cand Player 2</t>
  </si>
  <si>
    <t>Cand Player 3</t>
  </si>
  <si>
    <t>Cand Player 4</t>
  </si>
  <si>
    <t>Cand Player 5</t>
  </si>
  <si>
    <t>Cand Player 6</t>
  </si>
  <si>
    <t>Cand Player 7</t>
  </si>
  <si>
    <t>Cand Player 8</t>
  </si>
  <si>
    <t>Cand Player 9</t>
  </si>
  <si>
    <t>Cand Player 10</t>
  </si>
  <si>
    <t>Cand Player 11</t>
  </si>
  <si>
    <t>Cand Player 12</t>
  </si>
  <si>
    <t>Cand Player 13</t>
  </si>
  <si>
    <t>Eligible 1</t>
  </si>
  <si>
    <t>Eligible 2</t>
  </si>
  <si>
    <t>Eligible 3</t>
  </si>
  <si>
    <t>Eligible 4</t>
  </si>
  <si>
    <t>Eligible 5</t>
  </si>
  <si>
    <t>Eligible 6</t>
  </si>
  <si>
    <t>Eligible 7</t>
  </si>
  <si>
    <t>Eligible 8</t>
  </si>
  <si>
    <t>Eligible 9</t>
  </si>
  <si>
    <t>Eligible 10</t>
  </si>
  <si>
    <t>Eligible 11</t>
  </si>
  <si>
    <t>Eligible 12</t>
  </si>
  <si>
    <t>Eligible 13</t>
  </si>
  <si>
    <t>Target Gate Open</t>
  </si>
  <si>
    <t>Target Avail 1</t>
  </si>
  <si>
    <t>Target Avail 2</t>
  </si>
  <si>
    <t>Target Avail 3</t>
  </si>
  <si>
    <t>Target Avail 4</t>
  </si>
  <si>
    <t>Target Avail 5</t>
  </si>
  <si>
    <t>Target Avail 6</t>
  </si>
  <si>
    <t>Target Avail 7</t>
  </si>
  <si>
    <t>Target Avail 8</t>
  </si>
  <si>
    <t>Target Avail 9</t>
  </si>
  <si>
    <t>Target Avail 10</t>
  </si>
  <si>
    <t>Target Avail 11</t>
  </si>
  <si>
    <t>Target Avail 12</t>
  </si>
  <si>
    <t>Target Avail 13</t>
  </si>
  <si>
    <t>Weekly Checks</t>
  </si>
  <si>
    <t>Batting duplicates / outside ranges</t>
  </si>
  <si>
    <t>Previous DNB batting priority</t>
  </si>
  <si>
    <t>Previous did-not-bowl priority</t>
  </si>
  <si>
    <t>Bowling blank/conflict flags</t>
  </si>
  <si>
    <t>Competition bowling minimum</t>
  </si>
  <si>
    <t>Player count by competition</t>
  </si>
  <si>
    <t>Match Day Summary</t>
  </si>
  <si>
    <t>Round</t>
  </si>
  <si>
    <t>Captain</t>
  </si>
  <si>
    <t>Stage 1 Season Planner</t>
  </si>
  <si>
    <t>Game Details &amp; Keepers</t>
  </si>
  <si>
    <t>Batting Order</t>
  </si>
  <si>
    <t>Bowling Position Rotation</t>
  </si>
  <si>
    <t>Opponent</t>
  </si>
  <si>
    <t>Check</t>
  </si>
  <si>
    <t>Bat 1</t>
  </si>
  <si>
    <t>Bat 2</t>
  </si>
  <si>
    <t>Bat 3</t>
  </si>
  <si>
    <t>Bat 4</t>
  </si>
  <si>
    <t>Bat 5</t>
  </si>
  <si>
    <t>Bat 6</t>
  </si>
  <si>
    <t>Bat 7</t>
  </si>
  <si>
    <t>Bat 8</t>
  </si>
  <si>
    <t>Bat 9</t>
  </si>
  <si>
    <t>Bowl 1</t>
  </si>
  <si>
    <t>Bowl 2</t>
  </si>
  <si>
    <t>Bowl 3</t>
  </si>
  <si>
    <t>Bowl 4</t>
  </si>
  <si>
    <t>Bowl 5</t>
  </si>
  <si>
    <t>Bowl 6</t>
  </si>
  <si>
    <t>Bowl 7</t>
  </si>
  <si>
    <t>Bowl 8</t>
  </si>
  <si>
    <t>Bowl 9</t>
  </si>
  <si>
    <t>Season Log - Paste Actual Match History</t>
  </si>
  <si>
    <t>Batting Position</t>
  </si>
  <si>
    <t>Bowling Position</t>
  </si>
  <si>
    <t>Overs Bowled</t>
  </si>
  <si>
    <t>Stage 2/3 Rotation Audit</t>
  </si>
  <si>
    <t>Reads the simplified Season Log columns A:G. Counts unique batting and bowling positions before and after the mid-season break for Stage 2 and Stage 3. Finals are excluded from rotation counts.</t>
  </si>
  <si>
    <t>Pre Bat 1</t>
  </si>
  <si>
    <t>Pre Bat 2</t>
  </si>
  <si>
    <t>Pre Bat 3</t>
  </si>
  <si>
    <t>Pre Bat 4</t>
  </si>
  <si>
    <t>Pre Bat 5</t>
  </si>
  <si>
    <t>Pre Bat 6</t>
  </si>
  <si>
    <t>Pre Bat 7</t>
  </si>
  <si>
    <t>Pre Bat 8</t>
  </si>
  <si>
    <t>Pre Bat 9</t>
  </si>
  <si>
    <t>Pre Bat 10</t>
  </si>
  <si>
    <t>Pre Bat 11</t>
  </si>
  <si>
    <t>Pre Bat 12</t>
  </si>
  <si>
    <t>Pre Bat 13</t>
  </si>
  <si>
    <t>Pre Bat Unique</t>
  </si>
  <si>
    <t>Post Bat 1</t>
  </si>
  <si>
    <t>Post Bat 2</t>
  </si>
  <si>
    <t>Post Bat 3</t>
  </si>
  <si>
    <t>Post Bat 4</t>
  </si>
  <si>
    <t>Post Bat 5</t>
  </si>
  <si>
    <t>Post Bat 6</t>
  </si>
  <si>
    <t>Post Bat 7</t>
  </si>
  <si>
    <t>Post Bat 8</t>
  </si>
  <si>
    <t>Post Bat 9</t>
  </si>
  <si>
    <t>Post Bat 10</t>
  </si>
  <si>
    <t>Post Bat 11</t>
  </si>
  <si>
    <t>Post Bat 12</t>
  </si>
  <si>
    <t>Post Bat 13</t>
  </si>
  <si>
    <t>Post Bat Unique</t>
  </si>
  <si>
    <t>Pre Bowl 1</t>
  </si>
  <si>
    <t>Pre Bowl 2</t>
  </si>
  <si>
    <t>Pre Bowl 3</t>
  </si>
  <si>
    <t>Pre Bowl 4</t>
  </si>
  <si>
    <t>Pre Bowl 5</t>
  </si>
  <si>
    <t>Pre Bowl 6</t>
  </si>
  <si>
    <t>Pre Bowl 7</t>
  </si>
  <si>
    <t>Pre Bowl 8</t>
  </si>
  <si>
    <t>Pre Bowl 9</t>
  </si>
  <si>
    <t>Pre Bowl 10</t>
  </si>
  <si>
    <t>Pre Bowl 11</t>
  </si>
  <si>
    <t>Pre Bowl 12</t>
  </si>
  <si>
    <t>Pre Bowl 13</t>
  </si>
  <si>
    <t>Pre Bowl Unique</t>
  </si>
  <si>
    <t>Post Bowl 1</t>
  </si>
  <si>
    <t>Post Bowl 2</t>
  </si>
  <si>
    <t>Post Bowl 3</t>
  </si>
  <si>
    <t>Post Bowl 4</t>
  </si>
  <si>
    <t>Post Bowl 5</t>
  </si>
  <si>
    <t>Post Bowl 6</t>
  </si>
  <si>
    <t>Post Bowl 7</t>
  </si>
  <si>
    <t>Post Bowl 8</t>
  </si>
  <si>
    <t>Post Bowl 9</t>
  </si>
  <si>
    <t>Post Bowl 10</t>
  </si>
  <si>
    <t>Post Bowl 11</t>
  </si>
  <si>
    <t>Post Bowl 12</t>
  </si>
  <si>
    <t>Post Bowl 13</t>
  </si>
  <si>
    <t>Post Bowl Unique</t>
  </si>
  <si>
    <t>Status</t>
  </si>
  <si>
    <t>Rotation Rules Reference</t>
  </si>
  <si>
    <t>This sheet summarises the rules provided for Stage 1, Stage 2 and Stage 3 and the workbook assumptions.</t>
  </si>
  <si>
    <t>Area</t>
  </si>
  <si>
    <t>Rule / Planner Treatment</t>
  </si>
  <si>
    <t>Batting</t>
  </si>
  <si>
    <t>Stage 1</t>
  </si>
  <si>
    <t>Players rotate every game, use every position before repeating, and do not bat the same position in consecutive matches. Positions 1 and 2 are separate.</t>
  </si>
  <si>
    <t>Bowling</t>
  </si>
  <si>
    <t>Players rotate every game, use every bowling position before repeating, and do not bowl the same position in consecutive matches. Positions 1 and 2 are separate.</t>
  </si>
  <si>
    <t>Keeping</t>
  </si>
  <si>
    <t>Two keepers split the innings. A keeper cannot bowl while keeping; the second keeper bowls before the second keeping stint.</t>
  </si>
  <si>
    <t>Players</t>
  </si>
  <si>
    <t>Year 4-5 Girls</t>
  </si>
  <si>
    <t>Stage 1 competition using Stage 1 rotation rules. Allowed match player count is 5 to 9 players.</t>
  </si>
  <si>
    <t>Year 6-7 Girls</t>
  </si>
  <si>
    <t>Year 4 Boys</t>
  </si>
  <si>
    <t>Year 5 Boys</t>
  </si>
  <si>
    <t>Stage 2</t>
  </si>
  <si>
    <t>Players must bat in at least five different positions before mid-season and at least five different positions after mid-season. Positions 1 and 2 are separate.</t>
  </si>
  <si>
    <t>Any player named in the previous completed match who did not bat must bat in the following match they play. Finals rotation is not required.</t>
  </si>
  <si>
    <t>Players must bowl in at least five different positions before mid-season and at least five different positions after mid-season. Positions 1 and 2 are separate.</t>
  </si>
  <si>
    <t>Any player named in the previous completed match who did not bowl must bowl in the following match they play. Finals rotation is not required.</t>
  </si>
  <si>
    <t>Year 6 Boys</t>
  </si>
  <si>
    <t>Allowed match player count is 7 to 11 players.</t>
  </si>
  <si>
    <t>Year 8-9 Girls</t>
  </si>
  <si>
    <t>Allowed match player count is 7 to 9 players; the 11-player boys condition is not applied.</t>
  </si>
  <si>
    <t>Stage 2 T20</t>
  </si>
  <si>
    <t>10 or fewer players: each player including keepers should bowl at least two overs. 11 players: nine players bowl two overs and two players bowl one over.</t>
  </si>
  <si>
    <t>No player other than the second keeper should bowl more than two overs before all other players, excluding first keeper, have bowled two. Second keeper may bowl up to three before keeping. Max four overs.</t>
  </si>
  <si>
    <t>Stage 2 30-over</t>
  </si>
  <si>
    <t>Each player including keepers should bowl at least two overs. Max five overs. Year 6 Boys early cap is three; Year 7 Boys and Year 8-9 Girls early cap is two, with second keeper up to three before keeping.</t>
  </si>
  <si>
    <t>Stage 2 35-over</t>
  </si>
  <si>
    <t>The supplied Stage 2 excerpt names 35-over games but does not give a separate 35-over bowling table, so the planner uses the selected max overs, minimum target, keeper switch and spell mode.</t>
  </si>
  <si>
    <t>Year 8 Boys</t>
  </si>
  <si>
    <t>Stage 3 boys competition using the same planner treatment as Year 9 Boys. Allowed match player count is 7 to 13 players.</t>
  </si>
  <si>
    <t>Year 9 Boys</t>
  </si>
  <si>
    <t>Stage 3 competition. Allowed match player count is 7 to 13 players.</t>
  </si>
  <si>
    <t>Year 10-11 Boys</t>
  </si>
  <si>
    <t>Year 10-11-12 Girls</t>
  </si>
  <si>
    <t>Stage 3</t>
  </si>
  <si>
    <t>Players must bat in at least five different positions before mid-season and at least five different positions after mid-season. Positions 1 and 2 are separate. Previous DNB must bat next match; finals are exempt.</t>
  </si>
  <si>
    <t>Players must bowl in at least five different positions before and after mid-season. Previous DNBowl must bowl next match; finals are exempt. Stage 3 boys full-innings keepers are exempt from the DNBowl follow-up rule.</t>
  </si>
  <si>
    <t>Stage 3 T20 Boys</t>
  </si>
  <si>
    <t>Year 8 Boys, Year 9 Boys and Year 10-11 Boys: at least seven players bowl two overs before anyone bowls more than two. Max four overs.</t>
  </si>
  <si>
    <t>Stage 3 T20 Girls</t>
  </si>
  <si>
    <t>Year 10-11-12 Girls: 10 or fewer players all bowl two overs; 11 players means nine bowl two and all bowl at least one. For 12-13 players, planner checks all players bowl at least one and second overs are shared.</t>
  </si>
  <si>
    <t>Stage 3 30/35/40 Boys</t>
  </si>
  <si>
    <t>Year 8 Boys, Year 9 Boys and Year 10-11 Boys: seven players bowl two overs before anyone bowls more than four. Max six overs.</t>
  </si>
  <si>
    <t>Stage 3 30/35/40 Girls</t>
  </si>
  <si>
    <t>Year 10-11-12 Girls: all players bowl at least two overs. No player other than the second keeper should bowl more than three before all others, excluding first keeper, have bowled two. Max six overs.</t>
  </si>
  <si>
    <t>Stage 3 Girls</t>
  </si>
  <si>
    <t>Year 10-11-12 Girls require two keepers. No keeper may keep more than half the innings, except a 35-over innings where one keeper may keep 18 overs.</t>
  </si>
  <si>
    <t>Stage 3 Boys</t>
  </si>
  <si>
    <t>Year 8 Boys, Year 9 Boys and Year 10-11 Boys may use a full-innings keeper. Select One Keeper in WK Switch After Over; that keeper is shown for the full innings and is kept out of the bowling plan.</t>
  </si>
  <si>
    <t>Planner</t>
  </si>
  <si>
    <t>All</t>
  </si>
  <si>
    <t>Weekly Planner is designed for absences and manual override. Warnings highlight conflicts rather than blocking coach judgement.</t>
  </si>
  <si>
    <t>Player 1</t>
  </si>
  <si>
    <t>Player 2</t>
  </si>
  <si>
    <t>Player 3</t>
  </si>
  <si>
    <t>Player 4</t>
  </si>
  <si>
    <t>Player 5</t>
  </si>
  <si>
    <t>Player 6</t>
  </si>
  <si>
    <t>Player 7</t>
  </si>
  <si>
    <t>Player 8</t>
  </si>
  <si>
    <t>Player 9</t>
  </si>
  <si>
    <t>Player 10</t>
  </si>
  <si>
    <t>Player 11</t>
  </si>
  <si>
    <t>Yellow cells should be customised for your team</t>
  </si>
  <si>
    <t>Half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</si>
</sst>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font>
      <sz val="11"/>
      <name val="Carlito"/>
    </font>
    <font>
      <b/>
      <sz val="16"/>
      <color rgb="FFFFFFFF"/>
      <name val="Carlito"/>
    </font>
    <font>
      <b/>
      <sz val="11"/>
      <color rgb="FF123D63"/>
      <name val="Carlito"/>
    </font>
    <font>
      <sz val="11"/>
      <color rgb="FF123D63"/>
      <name val="Carlito"/>
    </font>
    <font>
      <b/>
      <sz val="11"/>
      <color rgb="FFFFFFFF"/>
      <name val="Carlito"/>
    </font>
    <font>
      <sz val="11"/>
      <color rgb="FFFFFFFF"/>
      <name val="Carlito"/>
    </font>
    <font>
      <sz val="8"/>
      <name val="Carlito"/>
    </font>
    <font>
      <b/>
      <sz val="11"/>
      <color theme="0"/>
      <name val="Carlito"/>
    </font>
  </fonts>
  <fills count="9">
    <fill>
      <patternFill patternType="none"/>
    </fill>
    <fill>
      <patternFill patternType="gray125"/>
    </fill>
    <fill>
      <patternFill patternType="solid">
        <fgColor rgb="FF123D63"/>
      </patternFill>
    </fill>
    <fill>
      <patternFill patternType="solid">
        <fgColor rgb="FFDDE8F2"/>
      </patternFill>
    </fill>
    <fill>
      <patternFill patternType="solid">
        <fgColor rgb="FFF4F8FB"/>
      </patternFill>
    </fill>
    <fill>
      <patternFill patternType="solid">
        <fgColor rgb="FFFFFFFF"/>
      </patternFill>
    </fill>
    <fill>
      <patternFill patternType="solid">
        <fgColor rgb="FF1D527A"/>
      </patternFill>
    </fill>
    <fill>
      <patternFill patternType="solid">
        <fgColor rgb="FFF8FAFC"/>
      </patternFill>
    </fill>
    <fill>
      <patternFill patternType="solid">
        <fgColor rgb="FFFFFF00"/>
        <bgColor indexed="64"/>
      </patternFill>
    </fill>
  </fills>
  <borders count="16">
    <border>
      <left/>
      <right/>
      <top/>
      <bottom/>
      <diagonal/>
    </border>
    <border>
      <left style="thin">
        <color rgb="FFAFC1D2"/>
      </left>
      <right style="thin">
        <color rgb="FFAFC1D2"/>
      </right>
      <top style="thin">
        <color rgb="FFAFC1D2"/>
      </top>
      <bottom/>
      <diagonal/>
    </border>
    <border>
      <left style="thin">
        <color rgb="FFAFC1D2"/>
      </left>
      <right style="thin">
        <color rgb="FFAFC1D2"/>
      </right>
      <top/>
      <bottom/>
      <diagonal/>
    </border>
    <border>
      <left style="thin">
        <color rgb="FFAFC1D2"/>
      </left>
      <right style="thin">
        <color rgb="FFAFC1D2"/>
      </right>
      <top/>
      <bottom style="thin">
        <color rgb="FFAFC1D2"/>
      </bottom>
      <diagonal/>
    </border>
    <border>
      <left style="thin">
        <color rgb="FFAFC1D2"/>
      </left>
      <right style="thin">
        <color rgb="FFAFC1D2"/>
      </right>
      <top style="thin">
        <color rgb="FFAFC1D2"/>
      </top>
      <bottom style="thin">
        <color rgb="FFAFC1D2"/>
      </bottom>
      <diagonal/>
    </border>
    <border>
      <left style="thin">
        <color rgb="FFAFC1D2"/>
      </left>
      <right/>
      <top style="thin">
        <color rgb="FFAFC1D2"/>
      </top>
      <bottom style="thin">
        <color rgb="FFAFC1D2"/>
      </bottom>
      <diagonal/>
    </border>
    <border>
      <left/>
      <right/>
      <top style="thin">
        <color rgb="FFAFC1D2"/>
      </top>
      <bottom style="thin">
        <color rgb="FFAFC1D2"/>
      </bottom>
      <diagonal/>
    </border>
    <border>
      <left/>
      <right style="thin">
        <color rgb="FFAFC1D2"/>
      </right>
      <top style="thin">
        <color rgb="FFAFC1D2"/>
      </top>
      <bottom style="thin">
        <color rgb="FFAFC1D2"/>
      </bottom>
      <diagonal/>
    </border>
    <border>
      <left style="thin">
        <color rgb="FFAFC1D2"/>
      </left>
      <right/>
      <top style="thin">
        <color rgb="FFAFC1D2"/>
      </top>
      <bottom/>
      <diagonal/>
    </border>
    <border>
      <left/>
      <right/>
      <top style="thin">
        <color rgb="FFAFC1D2"/>
      </top>
      <bottom/>
      <diagonal/>
    </border>
    <border>
      <left/>
      <right style="thin">
        <color rgb="FFAFC1D2"/>
      </right>
      <top style="thin">
        <color rgb="FFAFC1D2"/>
      </top>
      <bottom/>
      <diagonal/>
    </border>
    <border>
      <left style="thin">
        <color rgb="FFAFC1D2"/>
      </left>
      <right/>
      <top/>
      <bottom/>
      <diagonal/>
    </border>
    <border>
      <left/>
      <right style="thin">
        <color rgb="FFAFC1D2"/>
      </right>
      <top/>
      <bottom/>
      <diagonal/>
    </border>
    <border>
      <left style="thin">
        <color rgb="FFAFC1D2"/>
      </left>
      <right/>
      <top/>
      <bottom style="thin">
        <color rgb="FFAFC1D2"/>
      </bottom>
      <diagonal/>
    </border>
    <border>
      <left/>
      <right/>
      <top/>
      <bottom style="thin">
        <color rgb="FFAFC1D2"/>
      </bottom>
      <diagonal/>
    </border>
    <border>
      <left/>
      <right style="thin">
        <color rgb="FFAFC1D2"/>
      </right>
      <top/>
      <bottom style="thin">
        <color rgb="FFAFC1D2"/>
      </bottom>
      <diagonal/>
    </border>
  </borders>
  <cellStyleXfs count="1">
    <xf numFmtId="0" fontId="0" fillId="0" borderId="0"/>
  </cellStyleXfs>
  <cellXfs count="72">
    <xf numFmtId="0" fontId="0" fillId="0" borderId="0" xfId="0"/>
    <xf numFmtId="0" fontId="2" fillId="3" borderId="1"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3" fillId="4" borderId="1" xfId="0" applyFont="1" applyFill="1" applyBorder="1" applyAlignment="1">
      <alignment wrapText="1"/>
    </xf>
    <xf numFmtId="0" fontId="3" fillId="4" borderId="2" xfId="0" applyFont="1" applyFill="1" applyBorder="1" applyAlignment="1">
      <alignment wrapText="1"/>
    </xf>
    <xf numFmtId="0" fontId="3" fillId="4" borderId="3" xfId="0" applyFont="1" applyFill="1" applyBorder="1" applyAlignment="1">
      <alignment wrapText="1"/>
    </xf>
    <xf numFmtId="0" fontId="2" fillId="3" borderId="4" xfId="0" applyFont="1" applyFill="1" applyBorder="1" applyAlignment="1">
      <alignment wrapText="1"/>
    </xf>
    <xf numFmtId="0" fontId="2" fillId="5" borderId="2" xfId="0" applyFont="1" applyFill="1" applyBorder="1" applyAlignment="1">
      <alignment wrapText="1"/>
    </xf>
    <xf numFmtId="0" fontId="2" fillId="5" borderId="4" xfId="0" applyFont="1" applyFill="1" applyBorder="1" applyAlignment="1">
      <alignment wrapText="1"/>
    </xf>
    <xf numFmtId="0" fontId="3" fillId="4" borderId="1" xfId="0" applyFont="1" applyFill="1" applyBorder="1" applyAlignment="1">
      <alignment horizontal="center" wrapText="1"/>
    </xf>
    <xf numFmtId="0" fontId="3" fillId="5" borderId="2" xfId="0" applyFont="1" applyFill="1" applyBorder="1" applyAlignment="1">
      <alignment horizontal="center" wrapText="1"/>
    </xf>
    <xf numFmtId="0" fontId="3" fillId="4" borderId="2" xfId="0" applyFont="1" applyFill="1" applyBorder="1" applyAlignment="1">
      <alignment horizontal="center" wrapText="1"/>
    </xf>
    <xf numFmtId="0" fontId="3" fillId="5" borderId="4" xfId="0" applyFont="1" applyFill="1" applyBorder="1" applyAlignment="1">
      <alignment horizontal="center" wrapText="1"/>
    </xf>
    <xf numFmtId="0" fontId="4" fillId="6" borderId="5" xfId="0" applyFont="1" applyFill="1" applyBorder="1" applyAlignment="1">
      <alignment wrapText="1"/>
    </xf>
    <xf numFmtId="0" fontId="4" fillId="6" borderId="6" xfId="0" applyFont="1" applyFill="1" applyBorder="1" applyAlignment="1">
      <alignment wrapText="1"/>
    </xf>
    <xf numFmtId="0" fontId="4" fillId="6" borderId="7" xfId="0" applyFont="1" applyFill="1" applyBorder="1" applyAlignment="1">
      <alignment wrapText="1"/>
    </xf>
    <xf numFmtId="0" fontId="4" fillId="6" borderId="6" xfId="0" applyFont="1" applyFill="1" applyBorder="1" applyAlignment="1">
      <alignment horizontal="center" wrapText="1"/>
    </xf>
    <xf numFmtId="0" fontId="3" fillId="0" borderId="4" xfId="0" applyFont="1" applyBorder="1" applyAlignment="1">
      <alignment wrapText="1"/>
    </xf>
    <xf numFmtId="0" fontId="3" fillId="0" borderId="4" xfId="0" applyFont="1" applyBorder="1" applyAlignment="1">
      <alignment horizontal="center" wrapText="1"/>
    </xf>
    <xf numFmtId="0" fontId="5" fillId="5" borderId="0" xfId="0" applyFont="1" applyFill="1"/>
    <xf numFmtId="164" fontId="3" fillId="0" borderId="4" xfId="0" applyNumberFormat="1" applyFont="1" applyBorder="1" applyAlignment="1">
      <alignment wrapText="1"/>
    </xf>
    <xf numFmtId="0" fontId="3" fillId="3" borderId="1" xfId="0" applyFont="1" applyFill="1" applyBorder="1" applyAlignment="1">
      <alignment wrapText="1"/>
    </xf>
    <xf numFmtId="0" fontId="3" fillId="3" borderId="3" xfId="0" applyFont="1" applyFill="1" applyBorder="1" applyAlignment="1">
      <alignment wrapText="1"/>
    </xf>
    <xf numFmtId="0" fontId="3" fillId="4" borderId="8" xfId="0" applyFont="1" applyFill="1" applyBorder="1" applyAlignment="1">
      <alignment wrapText="1"/>
    </xf>
    <xf numFmtId="0" fontId="3" fillId="4" borderId="9" xfId="0" applyFont="1" applyFill="1" applyBorder="1" applyAlignment="1">
      <alignment wrapText="1"/>
    </xf>
    <xf numFmtId="0" fontId="3" fillId="4" borderId="10" xfId="0" applyFont="1" applyFill="1" applyBorder="1" applyAlignment="1">
      <alignment wrapText="1"/>
    </xf>
    <xf numFmtId="0" fontId="3" fillId="4" borderId="11" xfId="0" applyFont="1" applyFill="1" applyBorder="1" applyAlignment="1">
      <alignment wrapText="1"/>
    </xf>
    <xf numFmtId="0" fontId="3" fillId="4" borderId="0" xfId="0" applyFont="1" applyFill="1" applyAlignment="1">
      <alignment wrapText="1"/>
    </xf>
    <xf numFmtId="0" fontId="3" fillId="4" borderId="12" xfId="0" applyFont="1" applyFill="1" applyBorder="1" applyAlignment="1">
      <alignment wrapText="1"/>
    </xf>
    <xf numFmtId="0" fontId="3" fillId="4" borderId="13" xfId="0" applyFont="1" applyFill="1" applyBorder="1" applyAlignment="1">
      <alignment wrapText="1"/>
    </xf>
    <xf numFmtId="0" fontId="3" fillId="4" borderId="14" xfId="0" applyFont="1" applyFill="1" applyBorder="1" applyAlignment="1">
      <alignment wrapText="1"/>
    </xf>
    <xf numFmtId="0" fontId="3" fillId="4" borderId="15" xfId="0" applyFont="1" applyFill="1" applyBorder="1" applyAlignment="1">
      <alignment wrapText="1"/>
    </xf>
    <xf numFmtId="0" fontId="4" fillId="5" borderId="5" xfId="0" applyFont="1" applyFill="1" applyBorder="1" applyAlignment="1">
      <alignment wrapText="1"/>
    </xf>
    <xf numFmtId="0" fontId="4" fillId="5" borderId="6" xfId="0" applyFont="1" applyFill="1" applyBorder="1" applyAlignment="1">
      <alignment wrapText="1"/>
    </xf>
    <xf numFmtId="0" fontId="4" fillId="5" borderId="7" xfId="0" applyFont="1" applyFill="1" applyBorder="1" applyAlignment="1">
      <alignment wrapText="1"/>
    </xf>
    <xf numFmtId="0" fontId="4" fillId="6" borderId="5" xfId="0" applyFont="1" applyFill="1" applyBorder="1" applyAlignment="1">
      <alignment horizontal="center" wrapText="1"/>
    </xf>
    <xf numFmtId="0" fontId="4" fillId="6" borderId="7" xfId="0" applyFont="1" applyFill="1" applyBorder="1" applyAlignment="1">
      <alignment horizontal="center" wrapText="1"/>
    </xf>
    <xf numFmtId="0" fontId="2" fillId="3"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164" fontId="3" fillId="4" borderId="4" xfId="0" applyNumberFormat="1" applyFont="1" applyFill="1" applyBorder="1" applyAlignment="1">
      <alignment horizontal="left" vertical="center" wrapText="1"/>
    </xf>
    <xf numFmtId="0" fontId="4" fillId="2" borderId="5" xfId="0" applyFont="1" applyFill="1" applyBorder="1" applyAlignment="1">
      <alignment wrapText="1"/>
    </xf>
    <xf numFmtId="0" fontId="4" fillId="2" borderId="6" xfId="0" applyFont="1" applyFill="1" applyBorder="1" applyAlignment="1">
      <alignment wrapText="1"/>
    </xf>
    <xf numFmtId="0" fontId="4" fillId="2" borderId="7" xfId="0" applyFont="1" applyFill="1" applyBorder="1" applyAlignment="1">
      <alignment wrapText="1"/>
    </xf>
    <xf numFmtId="0" fontId="3" fillId="7" borderId="11" xfId="0" applyFont="1" applyFill="1" applyBorder="1" applyAlignment="1">
      <alignment wrapText="1"/>
    </xf>
    <xf numFmtId="0" fontId="3" fillId="7" borderId="0" xfId="0" applyFont="1" applyFill="1" applyAlignment="1">
      <alignment wrapText="1"/>
    </xf>
    <xf numFmtId="0" fontId="3" fillId="7" borderId="12" xfId="0" applyFont="1" applyFill="1" applyBorder="1" applyAlignment="1">
      <alignment wrapText="1"/>
    </xf>
    <xf numFmtId="0" fontId="3" fillId="7" borderId="13" xfId="0" applyFont="1" applyFill="1" applyBorder="1" applyAlignment="1">
      <alignment wrapText="1"/>
    </xf>
    <xf numFmtId="0" fontId="3" fillId="7" borderId="14" xfId="0" applyFont="1" applyFill="1" applyBorder="1" applyAlignment="1">
      <alignment wrapText="1"/>
    </xf>
    <xf numFmtId="0" fontId="3" fillId="7" borderId="15" xfId="0" applyFont="1" applyFill="1" applyBorder="1" applyAlignment="1">
      <alignment wrapText="1"/>
    </xf>
    <xf numFmtId="0" fontId="1" fillId="2" borderId="0" xfId="0" applyFont="1" applyFill="1"/>
    <xf numFmtId="0" fontId="4" fillId="6" borderId="5" xfId="0" applyFont="1" applyFill="1" applyBorder="1" applyAlignment="1">
      <alignment wrapText="1"/>
    </xf>
    <xf numFmtId="0" fontId="4" fillId="6" borderId="6" xfId="0" applyFont="1" applyFill="1" applyBorder="1" applyAlignment="1">
      <alignment wrapText="1"/>
    </xf>
    <xf numFmtId="0" fontId="4" fillId="6" borderId="7" xfId="0" applyFont="1" applyFill="1" applyBorder="1" applyAlignment="1">
      <alignment wrapText="1"/>
    </xf>
    <xf numFmtId="0" fontId="3" fillId="7" borderId="8" xfId="0" applyFont="1" applyFill="1" applyBorder="1" applyAlignment="1">
      <alignment wrapText="1"/>
    </xf>
    <xf numFmtId="0" fontId="3" fillId="7" borderId="9" xfId="0" applyFont="1" applyFill="1" applyBorder="1" applyAlignment="1">
      <alignment wrapText="1"/>
    </xf>
    <xf numFmtId="0" fontId="3" fillId="7" borderId="10" xfId="0" applyFont="1" applyFill="1" applyBorder="1" applyAlignment="1">
      <alignment wrapText="1"/>
    </xf>
    <xf numFmtId="0" fontId="3" fillId="4" borderId="5" xfId="0" applyFont="1" applyFill="1" applyBorder="1" applyAlignment="1">
      <alignment wrapText="1"/>
    </xf>
    <xf numFmtId="0" fontId="3" fillId="4" borderId="6" xfId="0" applyFont="1" applyFill="1" applyBorder="1" applyAlignment="1">
      <alignment wrapText="1"/>
    </xf>
    <xf numFmtId="0" fontId="3" fillId="4" borderId="7" xfId="0" applyFont="1" applyFill="1" applyBorder="1" applyAlignment="1">
      <alignment wrapText="1"/>
    </xf>
    <xf numFmtId="0" fontId="3" fillId="7" borderId="5" xfId="0" applyFont="1" applyFill="1" applyBorder="1" applyAlignment="1">
      <alignment wrapText="1"/>
    </xf>
    <xf numFmtId="0" fontId="3" fillId="7" borderId="6" xfId="0" applyFont="1" applyFill="1" applyBorder="1" applyAlignment="1">
      <alignment wrapText="1"/>
    </xf>
    <xf numFmtId="0" fontId="3" fillId="7" borderId="7" xfId="0" applyFont="1" applyFill="1" applyBorder="1" applyAlignment="1">
      <alignment wrapText="1"/>
    </xf>
    <xf numFmtId="0" fontId="3" fillId="4" borderId="4" xfId="0" applyFont="1" applyFill="1" applyBorder="1" applyAlignment="1">
      <alignment horizontal="left" vertical="center" wrapText="1"/>
    </xf>
    <xf numFmtId="0" fontId="0" fillId="0" borderId="4" xfId="0" applyBorder="1" applyAlignment="1">
      <alignment horizontal="left" vertical="center"/>
    </xf>
    <xf numFmtId="0" fontId="1" fillId="2" borderId="4" xfId="0" applyFont="1" applyFill="1" applyBorder="1" applyAlignment="1">
      <alignment horizontal="left" vertical="center"/>
    </xf>
    <xf numFmtId="0" fontId="3" fillId="0" borderId="4" xfId="0" applyFont="1" applyBorder="1" applyAlignment="1">
      <alignment wrapText="1"/>
    </xf>
    <xf numFmtId="0" fontId="3" fillId="8" borderId="2" xfId="0" applyFont="1" applyFill="1" applyBorder="1" applyAlignment="1">
      <alignment horizontal="center" wrapText="1"/>
    </xf>
    <xf numFmtId="0" fontId="2" fillId="5" borderId="2" xfId="0" applyFont="1" applyFill="1" applyBorder="1" applyAlignment="1">
      <alignment horizontal="left" wrapText="1"/>
    </xf>
    <xf numFmtId="0" fontId="3" fillId="8" borderId="3" xfId="0" applyFont="1" applyFill="1" applyBorder="1" applyAlignment="1">
      <alignment horizontal="center" wrapText="1"/>
    </xf>
    <xf numFmtId="0" fontId="0" fillId="8" borderId="0" xfId="0" applyFill="1" applyAlignment="1">
      <alignment horizontal="center"/>
    </xf>
    <xf numFmtId="0" fontId="7" fillId="6" borderId="4"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showGridLines="0" tabSelected="1" workbookViewId="0">
      <selection activeCell="L15" sqref="L15"/>
    </sheetView>
  </sheetViews>
  <sheetFormatPr defaultRowHeight="13.55"/>
  <cols>
    <col min="1" max="1" width="40.75" customWidth="1"/>
    <col min="2" max="2" width="36" customWidth="1"/>
    <col min="3" max="7" width="12" customWidth="1"/>
    <col min="8" max="8" width="28" customWidth="1"/>
    <col min="9" max="10" width="2" customWidth="1"/>
  </cols>
  <sheetData>
    <row r="1" spans="1:10" ht="19.25" customHeight="1">
      <c r="A1" s="50" t="s">
        <v>0</v>
      </c>
      <c r="B1" s="50"/>
      <c r="C1" s="50"/>
      <c r="D1" s="50"/>
      <c r="E1" s="50"/>
      <c r="F1" s="50"/>
      <c r="G1" s="50"/>
      <c r="H1" s="50"/>
    </row>
    <row r="3" spans="1:10" ht="15" customHeight="1">
      <c r="A3" s="1" t="s">
        <v>1</v>
      </c>
      <c r="B3" s="10" t="str">
        <f>IF(OR($B$15="Year 4-5 Girls",$B$15="Year 6-7 Girls",$B$15="Year 4 Boys",$B$15="Year 5 Boys"),"Stage 1",IF(OR($B$15="Year 6 Boys",$B$15="Year 7 Boys",$B$15="Year 8-9 Girls"),"Stage 2",IF(OR($B$15="Year 8 Boys",$B$15="Year 9 Boys",$B$15="Year 10-11 Boys",$B$15="Year 10-11-12 Girls"),"Stage 3","Select competition")))</f>
        <v>Stage 1</v>
      </c>
      <c r="D3" s="51" t="s">
        <v>2</v>
      </c>
      <c r="E3" s="52"/>
      <c r="F3" s="52"/>
      <c r="G3" s="52"/>
      <c r="H3" s="53"/>
    </row>
    <row r="4" spans="1:10" ht="15" customHeight="1">
      <c r="A4" s="8" t="s">
        <v>3</v>
      </c>
      <c r="B4" s="67" t="s">
        <v>4</v>
      </c>
      <c r="D4" s="54" t="s">
        <v>5</v>
      </c>
      <c r="E4" s="55"/>
      <c r="F4" s="55"/>
      <c r="G4" s="55"/>
      <c r="H4" s="56"/>
    </row>
    <row r="5" spans="1:10" ht="15" customHeight="1">
      <c r="A5" s="2" t="s">
        <v>6</v>
      </c>
      <c r="B5" s="67">
        <v>7</v>
      </c>
      <c r="D5" s="44" t="s">
        <v>7</v>
      </c>
      <c r="E5" s="45"/>
      <c r="F5" s="45"/>
      <c r="G5" s="45"/>
      <c r="H5" s="46"/>
    </row>
    <row r="6" spans="1:10" ht="15" customHeight="1">
      <c r="A6" s="8" t="s">
        <v>8</v>
      </c>
      <c r="B6" s="67">
        <v>20</v>
      </c>
      <c r="D6" s="44" t="s">
        <v>9</v>
      </c>
      <c r="E6" s="45"/>
      <c r="F6" s="45"/>
      <c r="G6" s="45"/>
      <c r="H6" s="46"/>
    </row>
    <row r="7" spans="1:10" ht="26.4" customHeight="1">
      <c r="A7" s="2" t="s">
        <v>10</v>
      </c>
      <c r="B7" s="67">
        <v>4</v>
      </c>
      <c r="D7" s="44" t="s">
        <v>11</v>
      </c>
      <c r="E7" s="45"/>
      <c r="F7" s="45"/>
      <c r="G7" s="45"/>
      <c r="H7" s="46"/>
    </row>
    <row r="8" spans="1:10" ht="15" customHeight="1">
      <c r="A8" s="8" t="s">
        <v>12</v>
      </c>
      <c r="B8" s="67" t="s">
        <v>13</v>
      </c>
      <c r="D8" s="44" t="s">
        <v>14</v>
      </c>
      <c r="E8" s="45"/>
      <c r="F8" s="45"/>
      <c r="G8" s="45"/>
      <c r="H8" s="46"/>
    </row>
    <row r="9" spans="1:10" ht="15" customHeight="1">
      <c r="A9" s="2" t="s">
        <v>15</v>
      </c>
      <c r="B9" s="67">
        <v>1</v>
      </c>
      <c r="D9" s="44" t="s">
        <v>16</v>
      </c>
      <c r="E9" s="45"/>
      <c r="F9" s="45"/>
      <c r="G9" s="45"/>
      <c r="H9" s="46"/>
    </row>
    <row r="10" spans="1:10" ht="26.4" customHeight="1">
      <c r="A10" s="8" t="s">
        <v>17</v>
      </c>
      <c r="B10" s="11">
        <v>7</v>
      </c>
      <c r="D10" s="44" t="s">
        <v>18</v>
      </c>
      <c r="E10" s="45"/>
      <c r="F10" s="45"/>
      <c r="G10" s="45"/>
      <c r="H10" s="46"/>
    </row>
    <row r="11" spans="1:10" ht="15" customHeight="1">
      <c r="A11" s="2" t="s">
        <v>19</v>
      </c>
      <c r="B11" s="67" t="s">
        <v>20</v>
      </c>
      <c r="D11" s="47" t="s">
        <v>21</v>
      </c>
      <c r="E11" s="48"/>
      <c r="F11" s="48"/>
      <c r="G11" s="48"/>
      <c r="H11" s="49"/>
    </row>
    <row r="12" spans="1:10" ht="15" customHeight="1">
      <c r="A12" s="8" t="s">
        <v>22</v>
      </c>
      <c r="B12" s="11">
        <f>IF(B6=20,10,IF(B6=30,15,IF(B6=35,18,20)))</f>
        <v>10</v>
      </c>
    </row>
    <row r="13" spans="1:10" ht="15" customHeight="1">
      <c r="A13" s="2" t="s">
        <v>23</v>
      </c>
      <c r="B13" s="12">
        <f>IF($B$3="Stage 2",IF(AND($B$15="Year 6 Boys",$B$6=30),3,2),IF($B$3="Stage 3",IF(AND(OR($B$15="Year 8 Boys",$B$15="Year 9 Boys",$B$15="Year 10-11 Boys"),$B$6&lt;&gt;20),4,IF(AND(OR($B$15="Year 10-11-12 Girls"),$B$6&lt;&gt;20),3,2)),2))</f>
        <v>2</v>
      </c>
    </row>
    <row r="14" spans="1:10" ht="15" customHeight="1">
      <c r="A14" s="68" t="s">
        <v>24</v>
      </c>
      <c r="B14" s="67">
        <v>2</v>
      </c>
      <c r="D14" s="70" t="s">
        <v>318</v>
      </c>
      <c r="E14" s="70"/>
      <c r="F14" s="70"/>
      <c r="G14" s="70"/>
      <c r="H14" s="70"/>
    </row>
    <row r="15" spans="1:10" ht="15" customHeight="1">
      <c r="A15" s="3" t="s">
        <v>25</v>
      </c>
      <c r="B15" s="69" t="s">
        <v>265</v>
      </c>
    </row>
    <row r="16" spans="1:10" ht="15" customHeight="1">
      <c r="A16" s="9" t="s">
        <v>27</v>
      </c>
      <c r="B16" s="13" t="str">
        <f>IF($B$3="Stage 1",IF(OR($B$15="Year 4-5 Girls",$B$15="Year 6-7 Girls",$B$15="Year 4 Boys",$B$15="Year 5 Boys"),IF(AND($B$5&gt;=5,$B$5&lt;=9),"OK: "&amp;$B$15&amp;" uses Stage 1 rules and allows 5-9 players","Check: "&amp;$B$15&amp;" allows 5-9 players"),"Select a Stage 1 competition"),IF($B$3="Stage 2",IF(OR($B$15="Year 6 Boys",$B$15="Year 7 Boys"),IF(AND($B$5&gt;=7,$B$5&lt;=11),"OK: "&amp;$B$15&amp;" allows 7-11 players","Check: "&amp;$B$15&amp;" allows 7-11 players"),IF($B$15="Year 8-9 Girls",IF(AND($B$5&gt;=7,$B$5&lt;=9),"OK: Year 8-9 Girls allows 7-9 players","Check: Year 8-9 Girls allows 7-9 players"),"Select a Stage 2 competition")),IF($B$3="Stage 3",IF(OR(OR($B$15="Year 8 Boys",$B$15="Year 9 Boys",$B$15="Year 10-11 Boys"),OR($B$15="Year 10-11-12 Girls")),IF(AND($B$5&gt;=7,$B$5&lt;=13),"OK: "&amp;$B$15&amp;" allows 7-13 players","Check: "&amp;$B$15&amp;" allows 7-13 players"),"Select a Stage 3 competition"),"Select stage")))</f>
        <v>OK: Year 4 Boys uses Stage 1 rules and allows 5-9 players</v>
      </c>
      <c r="I16" s="20">
        <f>COUNTIFS($J$18:$J$31,"&lt;="&amp;$B$5,$J$18:$J$31,"&gt;0",$G$18:$G$31,"Yes")</f>
        <v>7</v>
      </c>
      <c r="J16" s="20">
        <f>COUNTIFS($B$18:$B$31,"&lt;&gt;",$C$18:$C$31,"Yes")</f>
        <v>7</v>
      </c>
    </row>
    <row r="17" spans="1:10" ht="15" customHeight="1">
      <c r="A17" s="14" t="s">
        <v>28</v>
      </c>
      <c r="B17" s="17" t="s">
        <v>29</v>
      </c>
      <c r="C17" s="15" t="s">
        <v>30</v>
      </c>
      <c r="D17" s="15" t="s">
        <v>31</v>
      </c>
      <c r="E17" s="15" t="s">
        <v>32</v>
      </c>
      <c r="F17" s="15" t="s">
        <v>33</v>
      </c>
      <c r="G17" s="15" t="s">
        <v>34</v>
      </c>
      <c r="H17" s="16" t="s">
        <v>35</v>
      </c>
      <c r="I17" s="20" t="s">
        <v>36</v>
      </c>
      <c r="J17" s="20" t="s">
        <v>37</v>
      </c>
    </row>
    <row r="18" spans="1:10" ht="15" customHeight="1">
      <c r="A18" s="18">
        <v>1</v>
      </c>
      <c r="B18" s="19" t="s">
        <v>307</v>
      </c>
      <c r="C18" s="18" t="s">
        <v>38</v>
      </c>
      <c r="D18" s="18">
        <v>1</v>
      </c>
      <c r="E18" s="18">
        <v>13</v>
      </c>
      <c r="F18" s="18" t="s">
        <v>38</v>
      </c>
      <c r="G18" s="18" t="s">
        <v>38</v>
      </c>
      <c r="H18" s="18"/>
      <c r="I18" s="20">
        <f>IF(AND($J18&lt;&gt;"",$J18&lt;=$B$5,$G18="Yes"),COUNTIFS($J$18:$J18,"&lt;="&amp;$B$5,$J$18:$J18,"&gt;0",$G$18:$G18,"Yes"),"")</f>
        <v>1</v>
      </c>
      <c r="J18" s="20">
        <f>IF(AND($B18&lt;&gt;"",$C18="Yes"),COUNTIFS($B$18:$B18,"&lt;&gt;",$C$18:$C18,"Yes"),"")</f>
        <v>1</v>
      </c>
    </row>
    <row r="19" spans="1:10" ht="15" customHeight="1">
      <c r="A19" s="18">
        <v>2</v>
      </c>
      <c r="B19" s="19" t="s">
        <v>308</v>
      </c>
      <c r="C19" s="18" t="s">
        <v>38</v>
      </c>
      <c r="D19" s="18">
        <v>1</v>
      </c>
      <c r="E19" s="18">
        <v>13</v>
      </c>
      <c r="F19" s="18" t="s">
        <v>38</v>
      </c>
      <c r="G19" s="18" t="s">
        <v>38</v>
      </c>
      <c r="H19" s="18"/>
      <c r="I19" s="20">
        <f>IF(AND($J19&lt;&gt;"",$J19&lt;=$B$5,$G19="Yes"),COUNTIFS($J$18:$J19,"&lt;="&amp;$B$5,$J$18:$J19,"&gt;0",$G$18:$G19,"Yes"),"")</f>
        <v>2</v>
      </c>
      <c r="J19" s="20">
        <f>IF(AND($B19&lt;&gt;"",$C19="Yes"),COUNTIFS($B$18:$B19,"&lt;&gt;",$C$18:$C19,"Yes"),"")</f>
        <v>2</v>
      </c>
    </row>
    <row r="20" spans="1:10" ht="15" customHeight="1">
      <c r="A20" s="18">
        <v>3</v>
      </c>
      <c r="B20" s="19" t="s">
        <v>309</v>
      </c>
      <c r="C20" s="18" t="s">
        <v>38</v>
      </c>
      <c r="D20" s="18">
        <v>1</v>
      </c>
      <c r="E20" s="18">
        <v>13</v>
      </c>
      <c r="F20" s="18" t="s">
        <v>38</v>
      </c>
      <c r="G20" s="18" t="s">
        <v>38</v>
      </c>
      <c r="H20" s="18"/>
      <c r="I20" s="20">
        <f>IF(AND($J20&lt;&gt;"",$J20&lt;=$B$5,$G20="Yes"),COUNTIFS($J$18:$J20,"&lt;="&amp;$B$5,$J$18:$J20,"&gt;0",$G$18:$G20,"Yes"),"")</f>
        <v>3</v>
      </c>
      <c r="J20" s="20">
        <f>IF(AND($B20&lt;&gt;"",$C20="Yes"),COUNTIFS($B$18:$B20,"&lt;&gt;",$C$18:$C20,"Yes"),"")</f>
        <v>3</v>
      </c>
    </row>
    <row r="21" spans="1:10" ht="15" customHeight="1">
      <c r="A21" s="18">
        <v>4</v>
      </c>
      <c r="B21" s="19" t="s">
        <v>310</v>
      </c>
      <c r="C21" s="18" t="s">
        <v>38</v>
      </c>
      <c r="D21" s="18">
        <v>1</v>
      </c>
      <c r="E21" s="18">
        <v>13</v>
      </c>
      <c r="F21" s="18" t="s">
        <v>38</v>
      </c>
      <c r="G21" s="18" t="s">
        <v>38</v>
      </c>
      <c r="H21" s="18"/>
      <c r="I21" s="20">
        <f>IF(AND($J21&lt;&gt;"",$J21&lt;=$B$5,$G21="Yes"),COUNTIFS($J$18:$J21,"&lt;="&amp;$B$5,$J$18:$J21,"&gt;0",$G$18:$G21,"Yes"),"")</f>
        <v>4</v>
      </c>
      <c r="J21" s="20">
        <f>IF(AND($B21&lt;&gt;"",$C21="Yes"),COUNTIFS($B$18:$B21,"&lt;&gt;",$C$18:$C21,"Yes"),"")</f>
        <v>4</v>
      </c>
    </row>
    <row r="22" spans="1:10" ht="15" customHeight="1">
      <c r="A22" s="18">
        <v>5</v>
      </c>
      <c r="B22" s="19" t="s">
        <v>311</v>
      </c>
      <c r="C22" s="18" t="s">
        <v>38</v>
      </c>
      <c r="D22" s="18">
        <v>1</v>
      </c>
      <c r="E22" s="18">
        <v>13</v>
      </c>
      <c r="F22" s="18" t="s">
        <v>38</v>
      </c>
      <c r="G22" s="18" t="s">
        <v>38</v>
      </c>
      <c r="H22" s="18"/>
      <c r="I22" s="20">
        <f>IF(AND($J22&lt;&gt;"",$J22&lt;=$B$5,$G22="Yes"),COUNTIFS($J$18:$J22,"&lt;="&amp;$B$5,$J$18:$J22,"&gt;0",$G$18:$G22,"Yes"),"")</f>
        <v>5</v>
      </c>
      <c r="J22" s="20">
        <f>IF(AND($B22&lt;&gt;"",$C22="Yes"),COUNTIFS($B$18:$B22,"&lt;&gt;",$C$18:$C22,"Yes"),"")</f>
        <v>5</v>
      </c>
    </row>
    <row r="23" spans="1:10" ht="15" customHeight="1">
      <c r="A23" s="18">
        <v>6</v>
      </c>
      <c r="B23" s="19" t="s">
        <v>312</v>
      </c>
      <c r="C23" s="18" t="s">
        <v>38</v>
      </c>
      <c r="D23" s="18">
        <v>1</v>
      </c>
      <c r="E23" s="18">
        <v>13</v>
      </c>
      <c r="F23" s="18" t="s">
        <v>38</v>
      </c>
      <c r="G23" s="18" t="s">
        <v>38</v>
      </c>
      <c r="H23" s="18"/>
      <c r="I23" s="20">
        <f>IF(AND($J23&lt;&gt;"",$J23&lt;=$B$5,$G23="Yes"),COUNTIFS($J$18:$J23,"&lt;="&amp;$B$5,$J$18:$J23,"&gt;0",$G$18:$G23,"Yes"),"")</f>
        <v>6</v>
      </c>
      <c r="J23" s="20">
        <f>IF(AND($B23&lt;&gt;"",$C23="Yes"),COUNTIFS($B$18:$B23,"&lt;&gt;",$C$18:$C23,"Yes"),"")</f>
        <v>6</v>
      </c>
    </row>
    <row r="24" spans="1:10" ht="15" customHeight="1">
      <c r="A24" s="18">
        <v>7</v>
      </c>
      <c r="B24" s="19" t="s">
        <v>313</v>
      </c>
      <c r="C24" s="18" t="s">
        <v>38</v>
      </c>
      <c r="D24" s="18">
        <v>1</v>
      </c>
      <c r="E24" s="18">
        <v>13</v>
      </c>
      <c r="F24" s="18" t="s">
        <v>38</v>
      </c>
      <c r="G24" s="18" t="s">
        <v>38</v>
      </c>
      <c r="H24" s="18"/>
      <c r="I24" s="20">
        <f>IF(AND($J24&lt;&gt;"",$J24&lt;=$B$5,$G24="Yes"),COUNTIFS($J$18:$J24,"&lt;="&amp;$B$5,$J$18:$J24,"&gt;0",$G$18:$G24,"Yes"),"")</f>
        <v>7</v>
      </c>
      <c r="J24" s="20">
        <f>IF(AND($B24&lt;&gt;"",$C24="Yes"),COUNTIFS($B$18:$B24,"&lt;&gt;",$C$18:$C24,"Yes"),"")</f>
        <v>7</v>
      </c>
    </row>
    <row r="25" spans="1:10" ht="15" customHeight="1">
      <c r="A25" s="18">
        <v>8</v>
      </c>
      <c r="B25" s="19" t="s">
        <v>314</v>
      </c>
      <c r="C25" s="18" t="s">
        <v>39</v>
      </c>
      <c r="D25" s="18">
        <v>1</v>
      </c>
      <c r="E25" s="18">
        <v>13</v>
      </c>
      <c r="F25" s="18" t="s">
        <v>38</v>
      </c>
      <c r="G25" s="18" t="s">
        <v>38</v>
      </c>
      <c r="H25" s="18"/>
      <c r="I25" s="20" t="str">
        <f>IF(AND($J25&lt;&gt;"",$J25&lt;=$B$5,$G25="Yes"),COUNTIFS($J$18:$J25,"&lt;="&amp;$B$5,$J$18:$J25,"&gt;0",$G$18:$G25,"Yes"),"")</f>
        <v/>
      </c>
      <c r="J25" s="20" t="str">
        <f>IF(AND($B25&lt;&gt;"",$C25="Yes"),COUNTIFS($B$18:$B25,"&lt;&gt;",$C$18:$C25,"Yes"),"")</f>
        <v/>
      </c>
    </row>
    <row r="26" spans="1:10" ht="15" customHeight="1">
      <c r="A26" s="18">
        <v>9</v>
      </c>
      <c r="B26" s="19" t="s">
        <v>315</v>
      </c>
      <c r="C26" s="18" t="s">
        <v>39</v>
      </c>
      <c r="D26" s="18">
        <v>1</v>
      </c>
      <c r="E26" s="18">
        <v>13</v>
      </c>
      <c r="F26" s="18" t="s">
        <v>38</v>
      </c>
      <c r="G26" s="18" t="s">
        <v>38</v>
      </c>
      <c r="H26" s="18"/>
      <c r="I26" s="20" t="str">
        <f>IF(AND($J26&lt;&gt;"",$J26&lt;=$B$5,$G26="Yes"),COUNTIFS($J$18:$J26,"&lt;="&amp;$B$5,$J$18:$J26,"&gt;0",$G$18:$G26,"Yes"),"")</f>
        <v/>
      </c>
      <c r="J26" s="20" t="str">
        <f>IF(AND($B26&lt;&gt;"",$C26="Yes"),COUNTIFS($B$18:$B26,"&lt;&gt;",$C$18:$C26,"Yes"),"")</f>
        <v/>
      </c>
    </row>
    <row r="27" spans="1:10" ht="15" customHeight="1">
      <c r="A27" s="18">
        <v>10</v>
      </c>
      <c r="B27" s="19" t="s">
        <v>316</v>
      </c>
      <c r="C27" s="18" t="s">
        <v>39</v>
      </c>
      <c r="D27" s="18">
        <v>1</v>
      </c>
      <c r="E27" s="18">
        <v>13</v>
      </c>
      <c r="F27" s="18" t="s">
        <v>38</v>
      </c>
      <c r="G27" s="18" t="s">
        <v>38</v>
      </c>
      <c r="H27" s="18"/>
      <c r="I27" s="20" t="str">
        <f>IF(AND($J27&lt;&gt;"",$J27&lt;=$B$5,$G27="Yes"),COUNTIFS($J$18:$J27,"&lt;="&amp;$B$5,$J$18:$J27,"&gt;0",$G$18:$G27,"Yes"),"")</f>
        <v/>
      </c>
      <c r="J27" s="20" t="str">
        <f>IF(AND($B27&lt;&gt;"",$C27="Yes"),COUNTIFS($B$18:$B27,"&lt;&gt;",$C$18:$C27,"Yes"),"")</f>
        <v/>
      </c>
    </row>
    <row r="28" spans="1:10" ht="15" customHeight="1">
      <c r="A28" s="18">
        <v>11</v>
      </c>
      <c r="B28" s="19" t="s">
        <v>317</v>
      </c>
      <c r="C28" s="18" t="s">
        <v>39</v>
      </c>
      <c r="D28" s="18">
        <v>1</v>
      </c>
      <c r="E28" s="18">
        <v>13</v>
      </c>
      <c r="F28" s="18" t="s">
        <v>38</v>
      </c>
      <c r="G28" s="18" t="s">
        <v>38</v>
      </c>
      <c r="H28" s="18"/>
      <c r="I28" s="20" t="str">
        <f>IF(AND($J28&lt;&gt;"",$J28&lt;=$B$5,$G28="Yes"),COUNTIFS($J$18:$J28,"&lt;="&amp;$B$5,$J$18:$J28,"&gt;0",$G$18:$G28,"Yes"),"")</f>
        <v/>
      </c>
      <c r="J28" s="20" t="str">
        <f>IF(AND($B28&lt;&gt;"",$C28="Yes"),COUNTIFS($B$18:$B28,"&lt;&gt;",$C$18:$C28,"Yes"),"")</f>
        <v/>
      </c>
    </row>
    <row r="29" spans="1:10" ht="15" customHeight="1">
      <c r="A29" s="18">
        <v>12</v>
      </c>
      <c r="B29" s="19" t="s">
        <v>40</v>
      </c>
      <c r="C29" s="18" t="s">
        <v>39</v>
      </c>
      <c r="D29" s="18">
        <v>1</v>
      </c>
      <c r="E29" s="18">
        <v>13</v>
      </c>
      <c r="F29" s="18" t="s">
        <v>38</v>
      </c>
      <c r="G29" s="18" t="s">
        <v>39</v>
      </c>
      <c r="H29" s="18"/>
      <c r="I29" s="20" t="str">
        <f>IF(AND($J29&lt;&gt;"",$J29&lt;=$B$5,$G29="Yes"),COUNTIFS($J$18:$J29,"&lt;="&amp;$B$5,$J$18:$J29,"&gt;0",$G$18:$G29,"Yes"),"")</f>
        <v/>
      </c>
      <c r="J29" s="20" t="str">
        <f>IF(AND($B29&lt;&gt;"",$C29="Yes"),COUNTIFS($B$18:$B29,"&lt;&gt;",$C$18:$C29,"Yes"),"")</f>
        <v/>
      </c>
    </row>
    <row r="30" spans="1:10" ht="15" customHeight="1">
      <c r="A30" s="18">
        <v>13</v>
      </c>
      <c r="B30" s="19" t="s">
        <v>41</v>
      </c>
      <c r="C30" s="18" t="s">
        <v>39</v>
      </c>
      <c r="D30" s="18">
        <v>1</v>
      </c>
      <c r="E30" s="18">
        <v>13</v>
      </c>
      <c r="F30" s="18" t="s">
        <v>38</v>
      </c>
      <c r="G30" s="18" t="s">
        <v>39</v>
      </c>
      <c r="H30" s="18"/>
      <c r="I30" s="20" t="str">
        <f>IF(AND($J30&lt;&gt;"",$J30&lt;=$B$5,$G30="Yes"),COUNTIFS($J$18:$J30,"&lt;="&amp;$B$5,$J$18:$J30,"&gt;0",$G$18:$G30,"Yes"),"")</f>
        <v/>
      </c>
      <c r="J30" s="20" t="str">
        <f>IF(AND($B30&lt;&gt;"",$C30="Yes"),COUNTIFS($B$18:$B30,"&lt;&gt;",$C$18:$C30,"Yes"),"")</f>
        <v/>
      </c>
    </row>
    <row r="31" spans="1:10" ht="15" customHeight="1">
      <c r="A31" s="18">
        <v>14</v>
      </c>
      <c r="B31" s="19" t="s">
        <v>42</v>
      </c>
      <c r="C31" s="18" t="s">
        <v>39</v>
      </c>
      <c r="D31" s="18">
        <v>1</v>
      </c>
      <c r="E31" s="18">
        <v>13</v>
      </c>
      <c r="F31" s="18" t="s">
        <v>38</v>
      </c>
      <c r="G31" s="18" t="s">
        <v>39</v>
      </c>
      <c r="H31" s="18"/>
      <c r="I31" s="20" t="str">
        <f>IF(AND($J31&lt;&gt;"",$J31&lt;=$B$5,$G31="Yes"),COUNTIFS($J$18:$J31,"&lt;="&amp;$B$5,$J$18:$J31,"&gt;0",$G$18:$G31,"Yes"),"")</f>
        <v/>
      </c>
      <c r="J31" s="20" t="str">
        <f>IF(AND($B31&lt;&gt;"",$C31="Yes"),COUNTIFS($B$18:$B31,"&lt;&gt;",$C$18:$C31,"Yes"),"")</f>
        <v/>
      </c>
    </row>
  </sheetData>
  <mergeCells count="11">
    <mergeCell ref="D14:H14"/>
    <mergeCell ref="A1:H1"/>
    <mergeCell ref="D3:H3"/>
    <mergeCell ref="D4:H4"/>
    <mergeCell ref="D5:H5"/>
    <mergeCell ref="D6:H6"/>
    <mergeCell ref="D7:H7"/>
    <mergeCell ref="D8:H8"/>
    <mergeCell ref="D9:H9"/>
    <mergeCell ref="D10:H10"/>
    <mergeCell ref="D11:H11"/>
  </mergeCells>
  <phoneticPr fontId="6" type="noConversion"/>
  <dataValidations count="13">
    <dataValidation type="list" sqref="B4" xr:uid="{00000000-0002-0000-0000-000000000000}">
      <formula1>"Weekly,Season"</formula1>
    </dataValidation>
    <dataValidation type="whole" sqref="B5" xr:uid="{00000000-0002-0000-0000-000001000000}">
      <formula1>5</formula1>
      <formula2>13</formula2>
    </dataValidation>
    <dataValidation type="list" sqref="B6" xr:uid="{00000000-0002-0000-0000-000002000000}">
      <formula1>"20,30,35,40"</formula1>
    </dataValidation>
    <dataValidation type="whole" sqref="B7" xr:uid="{00000000-0002-0000-0000-000003000000}">
      <formula1>1</formula1>
      <formula2>8</formula2>
    </dataValidation>
    <dataValidation type="list" sqref="B8" xr:uid="{00000000-0002-0000-0000-000004000000}">
      <formula1>"One at a time,Two-over spell,Three-over spell"</formula1>
    </dataValidation>
    <dataValidation type="whole" sqref="B9:B10" xr:uid="{00000000-0002-0000-0000-000005000000}">
      <formula1>1</formula1>
      <formula2>20</formula2>
    </dataValidation>
    <dataValidation type="list" sqref="B11" xr:uid="{00000000-0002-0000-0000-000007000000}">
      <formula1>"Home &amp; Away,Finals"</formula1>
    </dataValidation>
    <dataValidation type="list" sqref="B12" xr:uid="{00000000-0002-0000-0000-000008000000}">
      <formula1>"10,15,18,20,One Keeper"</formula1>
    </dataValidation>
    <dataValidation type="list" sqref="B13" xr:uid="{00000000-0002-0000-0000-000009000000}">
      <formula1>"2,3,4"</formula1>
    </dataValidation>
    <dataValidation type="whole" sqref="B14" xr:uid="{00000000-0002-0000-0000-00000A000000}">
      <formula1>0</formula1>
      <formula2>5</formula2>
    </dataValidation>
    <dataValidation type="list" sqref="B15" xr:uid="{00000000-0002-0000-0000-00000B000000}">
      <formula1>"Year 4-5 Girls,Year 6-7 Girls,Year 4 Boys,Year 5 Boys,Year 6 Boys,Year 7 Boys,Year 8-9 Girls,Year 8 Boys,Year 9 Boys,Year 10-11 Boys,Year 10-11-12 Girls"</formula1>
    </dataValidation>
    <dataValidation type="list" sqref="C18:C31 F18:G31" xr:uid="{00000000-0002-0000-0000-00000C000000}">
      <formula1>"Yes,No"</formula1>
    </dataValidation>
    <dataValidation type="whole" sqref="D18:E31" xr:uid="{00000000-0002-0000-0000-00000D000000}">
      <formula1>1</formula1>
      <formula2>13</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workbookViewId="0">
      <selection sqref="A1:E1"/>
    </sheetView>
  </sheetViews>
  <sheetFormatPr defaultRowHeight="13.55"/>
  <cols>
    <col min="1" max="1" width="10" customWidth="1"/>
    <col min="2" max="2" width="14" customWidth="1"/>
    <col min="3" max="3" width="30" customWidth="1"/>
    <col min="4" max="4" width="34" customWidth="1"/>
    <col min="5" max="5" width="46" customWidth="1"/>
  </cols>
  <sheetData>
    <row r="1" spans="1:5" ht="19.25" customHeight="1">
      <c r="A1" s="50" t="s">
        <v>43</v>
      </c>
      <c r="B1" s="50"/>
      <c r="C1" s="50"/>
      <c r="D1" s="50"/>
      <c r="E1" s="50"/>
    </row>
    <row r="2" spans="1:5" ht="15" customHeight="1">
      <c r="A2" s="7" t="s">
        <v>44</v>
      </c>
      <c r="B2" s="57"/>
      <c r="C2" s="58"/>
      <c r="D2" s="58"/>
      <c r="E2" s="59"/>
    </row>
    <row r="3" spans="1:5" ht="15" customHeight="1">
      <c r="A3" s="14" t="s">
        <v>45</v>
      </c>
      <c r="B3" s="15" t="s">
        <v>46</v>
      </c>
      <c r="C3" s="15" t="s">
        <v>47</v>
      </c>
      <c r="D3" s="15" t="s">
        <v>48</v>
      </c>
      <c r="E3" s="16" t="s">
        <v>35</v>
      </c>
    </row>
    <row r="4" spans="1:5" ht="15" customHeight="1">
      <c r="A4" s="18">
        <v>1</v>
      </c>
      <c r="B4" s="21"/>
      <c r="C4" s="18"/>
      <c r="D4" s="18"/>
      <c r="E4" s="18"/>
    </row>
    <row r="5" spans="1:5" ht="15" customHeight="1">
      <c r="A5" s="18">
        <v>2</v>
      </c>
      <c r="B5" s="21"/>
      <c r="C5" s="18"/>
      <c r="D5" s="18"/>
      <c r="E5" s="18"/>
    </row>
    <row r="6" spans="1:5" ht="15" customHeight="1">
      <c r="A6" s="18">
        <v>3</v>
      </c>
      <c r="B6" s="21"/>
      <c r="C6" s="18"/>
      <c r="D6" s="18"/>
      <c r="E6" s="18"/>
    </row>
    <row r="7" spans="1:5" ht="15" customHeight="1">
      <c r="A7" s="18">
        <v>4</v>
      </c>
      <c r="B7" s="21"/>
      <c r="C7" s="18"/>
      <c r="D7" s="18"/>
      <c r="E7" s="18"/>
    </row>
    <row r="8" spans="1:5" ht="15" customHeight="1">
      <c r="A8" s="18">
        <v>5</v>
      </c>
      <c r="B8" s="21"/>
      <c r="C8" s="18"/>
      <c r="D8" s="18"/>
      <c r="E8" s="18"/>
    </row>
    <row r="9" spans="1:5" ht="15" customHeight="1">
      <c r="A9" s="18">
        <v>6</v>
      </c>
      <c r="B9" s="21"/>
      <c r="C9" s="18"/>
      <c r="D9" s="18"/>
      <c r="E9" s="18"/>
    </row>
    <row r="10" spans="1:5" ht="15" customHeight="1">
      <c r="A10" s="18">
        <v>7</v>
      </c>
      <c r="B10" s="21"/>
      <c r="C10" s="18"/>
      <c r="D10" s="18"/>
      <c r="E10" s="18"/>
    </row>
    <row r="11" spans="1:5" ht="15" customHeight="1">
      <c r="A11" s="18">
        <v>8</v>
      </c>
      <c r="B11" s="21"/>
      <c r="C11" s="18"/>
      <c r="D11" s="18"/>
      <c r="E11" s="18"/>
    </row>
    <row r="12" spans="1:5" ht="15" customHeight="1">
      <c r="A12" s="18">
        <v>9</v>
      </c>
      <c r="B12" s="21"/>
      <c r="C12" s="18"/>
      <c r="D12" s="18"/>
      <c r="E12" s="18"/>
    </row>
    <row r="13" spans="1:5" ht="15" customHeight="1">
      <c r="A13" s="18">
        <v>10</v>
      </c>
      <c r="B13" s="21"/>
      <c r="C13" s="18"/>
      <c r="D13" s="18"/>
      <c r="E13" s="18"/>
    </row>
    <row r="14" spans="1:5" ht="15" customHeight="1">
      <c r="A14" s="18">
        <v>11</v>
      </c>
      <c r="B14" s="21"/>
      <c r="C14" s="18"/>
      <c r="D14" s="18"/>
      <c r="E14" s="18"/>
    </row>
    <row r="15" spans="1:5" ht="15" customHeight="1">
      <c r="A15" s="18">
        <v>12</v>
      </c>
      <c r="B15" s="21"/>
      <c r="C15" s="18"/>
      <c r="D15" s="18"/>
      <c r="E15" s="18"/>
    </row>
    <row r="16" spans="1:5" ht="15" customHeight="1">
      <c r="A16" s="18">
        <v>13</v>
      </c>
      <c r="B16" s="21"/>
      <c r="C16" s="18"/>
      <c r="D16" s="18"/>
      <c r="E16" s="18"/>
    </row>
    <row r="17" spans="1:5" ht="15" customHeight="1">
      <c r="A17" s="18">
        <v>14</v>
      </c>
      <c r="B17" s="21"/>
      <c r="C17" s="18"/>
      <c r="D17" s="18"/>
      <c r="E17" s="18"/>
    </row>
    <row r="19" spans="1:5" ht="26.4" customHeight="1">
      <c r="A19" s="7" t="s">
        <v>49</v>
      </c>
      <c r="B19" s="60" t="s">
        <v>50</v>
      </c>
      <c r="C19" s="61"/>
      <c r="D19" s="61"/>
      <c r="E19" s="62"/>
    </row>
  </sheetData>
  <mergeCells count="3">
    <mergeCell ref="A1:E1"/>
    <mergeCell ref="B2:E2"/>
    <mergeCell ref="B19: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K71"/>
  <sheetViews>
    <sheetView showGridLines="0" topLeftCell="A11" workbookViewId="0">
      <selection sqref="A1:Q1"/>
    </sheetView>
  </sheetViews>
  <sheetFormatPr defaultRowHeight="13.55"/>
  <cols>
    <col min="1" max="1" width="16" customWidth="1"/>
    <col min="2" max="2" width="26" customWidth="1"/>
    <col min="3" max="4" width="10" customWidth="1"/>
    <col min="5" max="6" width="11" customWidth="1"/>
    <col min="7" max="7" width="12" customWidth="1"/>
    <col min="8" max="8" width="15" customWidth="1"/>
    <col min="9" max="10" width="9" customWidth="1"/>
    <col min="11" max="11" width="18" customWidth="1"/>
    <col min="12" max="12" width="23" customWidth="1"/>
    <col min="13" max="13" width="24" customWidth="1"/>
    <col min="14" max="14" width="18" customWidth="1"/>
    <col min="15" max="15" width="10" customWidth="1"/>
    <col min="16" max="16" width="18" customWidth="1"/>
    <col min="17" max="17" width="24" customWidth="1"/>
    <col min="20" max="89" width="2" customWidth="1"/>
  </cols>
  <sheetData>
    <row r="1" spans="1:89" ht="19.25" customHeight="1">
      <c r="A1" s="50" t="s">
        <v>51</v>
      </c>
      <c r="B1" s="50"/>
      <c r="C1" s="50"/>
      <c r="D1" s="50"/>
      <c r="E1" s="50"/>
      <c r="F1" s="50"/>
      <c r="G1" s="50"/>
      <c r="H1" s="50"/>
      <c r="I1" s="50"/>
      <c r="J1" s="50"/>
      <c r="K1" s="50"/>
      <c r="L1" s="50"/>
      <c r="M1" s="50"/>
      <c r="N1" s="50"/>
      <c r="O1" s="50"/>
      <c r="P1" s="50"/>
      <c r="Q1" s="50"/>
    </row>
    <row r="3" spans="1:89" ht="15" customHeight="1">
      <c r="A3" s="1" t="s">
        <v>52</v>
      </c>
      <c r="B3" s="4" t="str">
        <f>Setup!$B$3</f>
        <v>Stage 1</v>
      </c>
      <c r="D3" s="51" t="s">
        <v>53</v>
      </c>
      <c r="E3" s="52"/>
      <c r="F3" s="52"/>
      <c r="G3" s="53"/>
    </row>
    <row r="4" spans="1:89" ht="26.4" customHeight="1">
      <c r="A4" s="2" t="s">
        <v>54</v>
      </c>
      <c r="B4" s="5">
        <f>Setup!$B$9</f>
        <v>1</v>
      </c>
      <c r="D4" s="1" t="s">
        <v>55</v>
      </c>
      <c r="E4" s="24" t="str">
        <f>IFERROR(INDEX($B$18:$B$30,MATCH(MOD($B$4-1,$CK$16)+1,$CK$18:$CK$30,0)),"")</f>
        <v>Player 1</v>
      </c>
      <c r="F4" s="25" t="s">
        <v>56</v>
      </c>
      <c r="G4" s="26" t="str">
        <f>IF($B$8="One Keeper","Full innings","Overs 1 to switch")</f>
        <v>Overs 1 to switch</v>
      </c>
    </row>
    <row r="5" spans="1:89" ht="15" customHeight="1">
      <c r="A5" s="2" t="s">
        <v>8</v>
      </c>
      <c r="B5" s="5">
        <f>Setup!$B$6</f>
        <v>20</v>
      </c>
      <c r="D5" s="2" t="s">
        <v>57</v>
      </c>
      <c r="E5" s="27" t="str">
        <f>IF($B$8="One Keeper",$E$4,IFERROR(INDEX($B$18:$B$30,MATCH(MOD($B$4,$CK$16)+1,$CK$18:$CK$30,0)),""))</f>
        <v>Player 2</v>
      </c>
      <c r="F5" s="28" t="s">
        <v>56</v>
      </c>
      <c r="G5" s="29" t="str">
        <f>IF($B$8="One Keeper","","After switch")</f>
        <v>After switch</v>
      </c>
    </row>
    <row r="6" spans="1:89" ht="26.4" customHeight="1">
      <c r="A6" s="2" t="s">
        <v>58</v>
      </c>
      <c r="B6" s="5">
        <f>Setup!$B$7</f>
        <v>4</v>
      </c>
      <c r="D6" s="3" t="s">
        <v>59</v>
      </c>
      <c r="E6" s="30" t="str">
        <f>IF(OR($E$4="",$E$5=""),"Pick keepers",IF($B$8="One Keeper",IF(AND($B$3="Stage 3",OR($B$15="Year 8 Boys",$B$15="Year 9 Boys",$B$15="Year 10-11 Boys"),IFERROR(INDEX($F$18:$F$30,MATCH($E$4,$B$18:$B$30,0)),"No")="Yes"),"OK: one keeper - no bowling",IF(AND($B$3="Stage 3",OR($B$15="Year 8 Boys",$B$15="Year 9 Boys",$B$15="Year 10-11 Boys")),"Keeper not eligible","One keeper only Stage 3 boys")),IF($CK$16&lt;2,IF(AND($B$3="Stage 3",OR($B$15="Year 8 Boys",$B$15="Year 9 Boys",$B$15="Year 10-11 Boys"),$E$4=$E$5),"OK: full innings keeper","Pick two eligible keepers"),IF($E$4=$E$5,IF(AND($B$3="Stage 3",OR($B$15="Year 8 Boys",$B$15="Year 9 Boys",$B$15="Year 10-11 Boys")),"OK: full innings keeper","Pick two keepers"),IF(AND(IFERROR(INDEX($F$18:$F$30,MATCH($E$4,$B$18:$B$30,0)),"No")="Yes",IFERROR(INDEX($F$18:$F$30,MATCH($E$5,$B$18:$B$30,0)),"No")="Yes"),"OK","Keeper not eligible")))))</f>
        <v>OK</v>
      </c>
      <c r="F6" s="31"/>
      <c r="G6" s="32"/>
    </row>
    <row r="7" spans="1:89" ht="15" customHeight="1">
      <c r="A7" s="2" t="s">
        <v>12</v>
      </c>
      <c r="B7" s="5" t="str">
        <f>Setup!$B$8</f>
        <v>One at a time</v>
      </c>
    </row>
    <row r="8" spans="1:89" ht="26.4" customHeight="1">
      <c r="A8" s="2" t="s">
        <v>22</v>
      </c>
      <c r="B8" s="5">
        <f>Setup!$B$12</f>
        <v>10</v>
      </c>
    </row>
    <row r="9" spans="1:89" ht="15" customHeight="1">
      <c r="A9" s="2" t="s">
        <v>60</v>
      </c>
      <c r="B9" s="5">
        <f>Setup!$B$13</f>
        <v>2</v>
      </c>
    </row>
    <row r="10" spans="1:89" ht="15" customHeight="1">
      <c r="A10" s="2" t="s">
        <v>19</v>
      </c>
      <c r="B10" s="5" t="str">
        <f>Setup!$B$11</f>
        <v>Home &amp; Away</v>
      </c>
    </row>
    <row r="11" spans="1:89" ht="26.4" customHeight="1">
      <c r="A11" s="2" t="s">
        <v>61</v>
      </c>
      <c r="B11" s="5">
        <f>IF(LEN($B$18)&gt;0,1,0)+IF(LEN($B$19)&gt;0,1,0)+IF(LEN($B$20)&gt;0,1,0)+IF(LEN($B$21)&gt;0,1,0)+IF(LEN($B$22)&gt;0,1,0)+IF(LEN($B$23)&gt;0,1,0)+IF(LEN($B$24)&gt;0,1,0)+IF(LEN($B$25)&gt;0,1,0)+IF(LEN($B$26)&gt;0,1,0)+IF(LEN($B$27)&gt;0,1,0)+IF(LEN($B$28)&gt;0,1,0)+IF(LEN($B$29)&gt;0,1,0)+IF(LEN($B$30)&gt;0,1,0)</f>
        <v>7</v>
      </c>
    </row>
    <row r="12" spans="1:89" ht="15" customHeight="1">
      <c r="A12" s="2" t="s">
        <v>62</v>
      </c>
      <c r="B12" s="5" t="str">
        <f>IF($B$5&gt;$B$6*$B$11,"Max overs too low","OK")</f>
        <v>OK</v>
      </c>
    </row>
    <row r="13" spans="1:89" ht="15" customHeight="1">
      <c r="A13" s="2" t="s">
        <v>63</v>
      </c>
      <c r="B13" s="5" t="str">
        <f>IF($B$3="Stage 1","Stage 1 weekly checks",IF($B$3="Stage 2",IF($B$5=20,IF($B$11&lt;=10,"Each player minimum 2 overs","11 players: 9 bowl 2+, 2 bowl 1+"),IF($B$5=30,"Each player minimum 2 overs","Use selected minimum target")),IF($B$3="Stage 3",IF($B$5=20,IF(OR($B$15="Year 8 Boys",$B$15="Year 9 Boys",$B$15="Year 10-11 Boys"),"Boys T20: 7 players bowl 2+","Girls T20: &lt;=10 all 2+, 11 players 9 on 2+, 12-13 all 1+"),IF(OR($B$15="Year 8 Boys",$B$15="Year 9 Boys",$B$15="Year 10-11 Boys"),"Boys: 7 players bowl 2+ before anyone bowls &gt;4","Girls: all players minimum 2 overs")),"Select stage")))</f>
        <v>Stage 1 weekly checks</v>
      </c>
    </row>
    <row r="14" spans="1:89" ht="15" customHeight="1">
      <c r="A14" s="3" t="s">
        <v>64</v>
      </c>
      <c r="B14" s="6" t="str">
        <f>IF(AND($B$3&lt;&gt;"Stage 3",$B$5=40),"40-over games are only listed for Stage 3 in the supplied rules.","")</f>
        <v/>
      </c>
    </row>
    <row r="15" spans="1:89" ht="15" customHeight="1">
      <c r="A15" s="1" t="s">
        <v>25</v>
      </c>
      <c r="B15" s="22" t="str">
        <f>Setup!$B$15</f>
        <v>Year 4 Boys</v>
      </c>
    </row>
    <row r="16" spans="1:89" ht="26.4" customHeight="1">
      <c r="A16" s="3" t="s">
        <v>27</v>
      </c>
      <c r="B16" s="23" t="str">
        <f>Setup!$B$16</f>
        <v>OK: Year 4 Boys uses Stage 1 rules and allows 5-9 players</v>
      </c>
      <c r="CK16" s="20">
        <f>COUNTIFS($B$18:$B$30,"&lt;&gt;",$F$18:$F$30,"Yes")</f>
        <v>7</v>
      </c>
    </row>
    <row r="17" spans="1:89" ht="15" customHeight="1">
      <c r="A17" s="14" t="s">
        <v>65</v>
      </c>
      <c r="B17" s="15" t="s">
        <v>66</v>
      </c>
      <c r="C17" s="15" t="s">
        <v>31</v>
      </c>
      <c r="D17" s="15" t="s">
        <v>32</v>
      </c>
      <c r="E17" s="15" t="s">
        <v>33</v>
      </c>
      <c r="F17" s="15" t="s">
        <v>34</v>
      </c>
      <c r="G17" s="15" t="s">
        <v>67</v>
      </c>
      <c r="H17" s="16" t="s">
        <v>68</v>
      </c>
      <c r="J17" s="14" t="s">
        <v>69</v>
      </c>
      <c r="K17" s="15" t="s">
        <v>70</v>
      </c>
      <c r="L17" s="15" t="s">
        <v>71</v>
      </c>
      <c r="M17" s="16" t="s">
        <v>72</v>
      </c>
      <c r="O17" s="14" t="s">
        <v>73</v>
      </c>
      <c r="P17" s="15" t="s">
        <v>70</v>
      </c>
      <c r="Q17" s="16" t="s">
        <v>71</v>
      </c>
      <c r="BW17" s="20" t="s">
        <v>74</v>
      </c>
      <c r="BX17" s="20" t="s">
        <v>75</v>
      </c>
      <c r="BY17" s="20" t="s">
        <v>76</v>
      </c>
      <c r="BZ17" s="20" t="s">
        <v>77</v>
      </c>
      <c r="CA17" s="20" t="s">
        <v>78</v>
      </c>
      <c r="CB17" s="20" t="s">
        <v>79</v>
      </c>
      <c r="CC17" s="20" t="s">
        <v>80</v>
      </c>
      <c r="CD17" s="20" t="s">
        <v>81</v>
      </c>
      <c r="CE17" s="20" t="s">
        <v>82</v>
      </c>
      <c r="CF17" s="20" t="s">
        <v>83</v>
      </c>
      <c r="CG17" s="20" t="s">
        <v>84</v>
      </c>
      <c r="CH17" s="20" t="s">
        <v>85</v>
      </c>
      <c r="CI17" s="20" t="s">
        <v>86</v>
      </c>
      <c r="CJ17" s="20" t="s">
        <v>87</v>
      </c>
      <c r="CK17" s="20" t="s">
        <v>36</v>
      </c>
    </row>
    <row r="18" spans="1:89" ht="15" customHeight="1">
      <c r="A18" s="18">
        <v>1</v>
      </c>
      <c r="B18" s="18" t="str">
        <f>IF($A18&gt;Setup!$B$5,"",IFERROR(INDEX(Setup!$B$18:$B$31,MATCH($A18,Setup!$J$18:$J$31,0)),""))</f>
        <v>Player 1</v>
      </c>
      <c r="C18" s="18">
        <f>IF($B18="","",IFERROR(INDEX(Setup!$D$18:$D$31,MATCH($B18,Setup!$B$18:$B$31,0)),""))</f>
        <v>1</v>
      </c>
      <c r="D18" s="18">
        <f>IF($B18="","",IFERROR(INDEX(Setup!$E$18:$E$31,MATCH($B18,Setup!$B$18:$B$31,0)),""))</f>
        <v>13</v>
      </c>
      <c r="E18" s="18" t="str">
        <f>IF($B18="","",IFERROR(INDEX(Setup!$F$18:$F$31,MATCH($B18,Setup!$B$18:$B$31,0)),""))</f>
        <v>Yes</v>
      </c>
      <c r="F18" s="18" t="str">
        <f>IF($B18="","",IFERROR(INDEX(Setup!$G$18:$G$31,MATCH($B18,Setup!$B$18:$B$31,0)),""))</f>
        <v>Yes</v>
      </c>
      <c r="G18" s="18" t="s">
        <v>39</v>
      </c>
      <c r="H18" s="18" t="s">
        <v>39</v>
      </c>
      <c r="J18" s="18">
        <v>1</v>
      </c>
      <c r="K18" s="18" t="str">
        <f t="shared" ref="K18:K30" si="0">IF($J18&gt;$B$11,"",IFERROR(IF(MAX($BX18:$CJ18)&lt;0,"No eligible",INDEX($B$18:$B$30,MATCH(MAX($BX18:$CJ18),$BX18:$CJ18,0))),"No eligible"))</f>
        <v>Player 1</v>
      </c>
      <c r="L18" s="18" t="str">
        <f t="shared" ref="L18:L30" si="1">IF($K18="","",IF($K18="No eligible",""&amp;"No eligible","")&amp;IF(AND($K18&lt;&gt;"No eligible",COUNTIF($K$18:$K$30,$K18)&gt;1),IF(OR($K18="No eligible"),", ","")&amp;"Duplicate","")&amp;IF(AND($K18&lt;&gt;"No eligible",OR($J18&lt;IF(IFERROR(INDEX($C$18:$C$30,MATCH($K18,$B$18:$B$30,0)),"")="",1,IFERROR(INDEX($C$18:$C$30,MATCH($K18,$B$18:$B$30,0)),"")),$J18&gt;IF(IFERROR(INDEX($D$18:$D$30,MATCH($K18,$B$18:$B$30,0)),"")="",$B$11,IFERROR(INDEX($D$18:$D$30,MATCH($K18,$B$18:$B$30,0)),"")))),IF(OR($K18="No eligible",AND($K18&lt;&gt;"No eligible",COUNTIF($K$18:$K$30,$K18)&gt;1)),", ","")&amp;"Outside allowed",""))</f>
        <v/>
      </c>
      <c r="M18" s="18" t="str">
        <f>IF($K18="","",IF(OR($B$3="Stage 2",$B$3="Stage 3"),"Build to 5 positions each half",IF(COUNTIFS('Season Log'!$C$4:$C$203,$K18,'Season Log'!$D$4:$D$203,$J18)=0,"New position","Used before")))</f>
        <v>New position</v>
      </c>
      <c r="O18" s="18">
        <v>1</v>
      </c>
      <c r="P18" s="18" t="str">
        <f t="shared" ref="P18:P30" si="2">IF($O18&gt;$B$11,"",INDEX($B$18:$B$30,MOD($O18+$B$4,$B$11)+1))</f>
        <v>Player 3</v>
      </c>
      <c r="Q18" s="18" t="str">
        <f t="shared" ref="Q18:Q30" si="3">IF($P18="","",IF(COUNTIF($P$18:$P$30,$P18)&gt;1,""&amp;"Duplicate","")&amp;IF(IFERROR(INDEX($E$18:$E$30,MATCH($P18,$B$18:$B$30,0)),"No")&lt;&gt;"Yes",IF(OR(COUNTIF($P$18:$P$30,$P18)&gt;1),", ","")&amp;"Not marked bowler",""))</f>
        <v/>
      </c>
      <c r="BW18" s="20">
        <f t="shared" ref="BW18:BW30" si="4">IF($B18="","",IFERROR(MATCH($B18,$C$32:$C$71,0),$B$5+MATCH($B18,$B$18:$B$30,0)/100))</f>
        <v>11</v>
      </c>
      <c r="BX18" s="20">
        <f>IF(AND($B$18&lt;&gt;"",$J18&lt;=$B$11,$J18&gt;=IF($C$18="",1,$C$18),$J18&lt;=IF($D$18="",$B$11,$D$18),COUNTIF($K$1:$K$1,$B$18)=0),(100-IF($D$18="",$B$11,$D$18))*1000+(100-(IF($D$18="",$B$11,$D$18)-IF($C$18="",1,$C$18)+1))*100+$BW$18,-999999)</f>
        <v>95711</v>
      </c>
      <c r="BY18" s="20">
        <f>IF(AND($B$19&lt;&gt;"",$J18&lt;=$B$11,$J18&gt;=IF($C$19="",1,$C$19),$J18&lt;=IF($D$19="",$B$11,$D$19),COUNTIF($K$1:$K$1,$B$19)=0),(100-IF($D$19="",$B$11,$D$19))*1000+(100-(IF($D$19="",$B$11,$D$19)-IF($C$19="",1,$C$19)+1))*100+$BW$19,-999999)</f>
        <v>95702</v>
      </c>
      <c r="BZ18" s="20">
        <f>IF(AND($B$20&lt;&gt;"",$J18&lt;=$B$11,$J18&gt;=IF($C$20="",1,$C$20),$J18&lt;=IF($D$20="",$B$11,$D$20),COUNTIF($K$1:$K$1,$B$20)=0),(100-IF($D$20="",$B$11,$D$20))*1000+(100-(IF($D$20="",$B$11,$D$20)-IF($C$20="",1,$C$20)+1))*100+$BW$20,-999999)</f>
        <v>95701</v>
      </c>
      <c r="CA18" s="20">
        <f>IF(AND($B$21&lt;&gt;"",$J18&lt;=$B$11,$J18&gt;=IF($C$21="",1,$C$21),$J18&lt;=IF($D$21="",$B$11,$D$21),COUNTIF($K$1:$K$1,$B$21)=0),(100-IF($D$21="",$B$11,$D$21))*1000+(100-(IF($D$21="",$B$11,$D$21)-IF($C$21="",1,$C$21)+1))*100+$BW$21,-999999)</f>
        <v>95707</v>
      </c>
      <c r="CB18" s="20">
        <f>IF(AND($B$22&lt;&gt;"",$J18&lt;=$B$11,$J18&gt;=IF($C$22="",1,$C$22),$J18&lt;=IF($D$22="",$B$11,$D$22),COUNTIF($K$1:$K$1,$B$22)=0),(100-IF($D$22="",$B$11,$D$22))*1000+(100-(IF($D$22="",$B$11,$D$22)-IF($C$22="",1,$C$22)+1))*100+$BW$22,-999999)</f>
        <v>95703</v>
      </c>
      <c r="CC18" s="20">
        <f>IF(AND($B$23&lt;&gt;"",$J18&lt;=$B$11,$J18&gt;=IF($C$23="",1,$C$23),$J18&lt;=IF($D$23="",$B$11,$D$23),COUNTIF($K$1:$K$1,$B$23)=0),(100-IF($D$23="",$B$11,$D$23))*1000+(100-(IF($D$23="",$B$11,$D$23)-IF($C$23="",1,$C$23)+1))*100+$BW$23,-999999)</f>
        <v>95710</v>
      </c>
      <c r="CD18" s="20">
        <f>IF(AND($B$24&lt;&gt;"",$J18&lt;=$B$11,$J18&gt;=IF($C$24="",1,$C$24),$J18&lt;=IF($D$24="",$B$11,$D$24),COUNTIF($K$1:$K$1,$B$24)=0),(100-IF($D$24="",$B$11,$D$24))*1000+(100-(IF($D$24="",$B$11,$D$24)-IF($C$24="",1,$C$24)+1))*100+$BW$24,-999999)</f>
        <v>95705</v>
      </c>
      <c r="CE18" s="20">
        <f>IF(AND($B$25&lt;&gt;"",$J18&lt;=$B$11,$J18&gt;=IF($C$25="",1,$C$25),$J18&lt;=IF($D$25="",$B$11,$D$25),COUNTIF($K$1:$K$1,$B$25)=0),(100-IF($D$25="",$B$11,$D$25))*1000+(100-(IF($D$25="",$B$11,$D$25)-IF($C$25="",1,$C$25)+1))*100+$BW$25,-999999)</f>
        <v>-999999</v>
      </c>
      <c r="CF18" s="20">
        <f>IF(AND($B$26&lt;&gt;"",$J18&lt;=$B$11,$J18&gt;=IF($C$26="",1,$C$26),$J18&lt;=IF($D$26="",$B$11,$D$26),COUNTIF($K$1:$K$1,$B$26)=0),(100-IF($D$26="",$B$11,$D$26))*1000+(100-(IF($D$26="",$B$11,$D$26)-IF($C$26="",1,$C$26)+1))*100+$BW$26,-999999)</f>
        <v>-999999</v>
      </c>
      <c r="CG18" s="20">
        <f>IF(AND($B$27&lt;&gt;"",$J18&lt;=$B$11,$J18&gt;=IF($C$27="",1,$C$27),$J18&lt;=IF($D$27="",$B$11,$D$27),COUNTIF($K$1:$K$1,$B$27)=0),(100-IF($D$27="",$B$11,$D$27))*1000+(100-(IF($D$27="",$B$11,$D$27)-IF($C$27="",1,$C$27)+1))*100+$BW$27,-999999)</f>
        <v>-999999</v>
      </c>
      <c r="CH18" s="20">
        <f>IF(AND($B$28&lt;&gt;"",$J18&lt;=$B$11,$J18&gt;=IF($C$28="",1,$C$28),$J18&lt;=IF($D$28="",$B$11,$D$28),COUNTIF($K$1:$K$1,$B$28)=0),(100-IF($D$28="",$B$11,$D$28))*1000+(100-(IF($D$28="",$B$11,$D$28)-IF($C$28="",1,$C$28)+1))*100+$BW$28,-999999)</f>
        <v>-999999</v>
      </c>
      <c r="CI18" s="20">
        <f>IF(AND($B$29&lt;&gt;"",$J18&lt;=$B$11,$J18&gt;=IF($C$29="",1,$C$29),$J18&lt;=IF($D$29="",$B$11,$D$29),COUNTIF($K$1:$K$1,$B$29)=0),(100-IF($D$29="",$B$11,$D$29))*1000+(100-(IF($D$29="",$B$11,$D$29)-IF($C$29="",1,$C$29)+1))*100+$BW$29,-999999)</f>
        <v>-999999</v>
      </c>
      <c r="CJ18" s="20">
        <f>IF(AND($B$30&lt;&gt;"",$J18&lt;=$B$11,$J18&gt;=IF($C$30="",1,$C$30),$J18&lt;=IF($D$30="",$B$11,$D$30),COUNTIF($K$1:$K$1,$B$30)=0),(100-IF($D$30="",$B$11,$D$30))*1000+(100-(IF($D$30="",$B$11,$D$30)-IF($C$30="",1,$C$30)+1))*100+$BW$30,-999999)</f>
        <v>-999999</v>
      </c>
      <c r="CK18" s="20">
        <f>IF(AND($B18&lt;&gt;"",$F18="Yes"),COUNTIFS($B$18:$B18,"&lt;&gt;",$F$18:$F18,"Yes"),"")</f>
        <v>1</v>
      </c>
    </row>
    <row r="19" spans="1:89" ht="15" customHeight="1">
      <c r="A19" s="18">
        <v>2</v>
      </c>
      <c r="B19" s="18" t="str">
        <f>IF($A19&gt;Setup!$B$5,"",IFERROR(INDEX(Setup!$B$18:$B$31,MATCH($A19,Setup!$J$18:$J$31,0)),""))</f>
        <v>Player 2</v>
      </c>
      <c r="C19" s="18">
        <f>IF($B19="","",IFERROR(INDEX(Setup!$D$18:$D$31,MATCH($B19,Setup!$B$18:$B$31,0)),""))</f>
        <v>1</v>
      </c>
      <c r="D19" s="18">
        <f>IF($B19="","",IFERROR(INDEX(Setup!$E$18:$E$31,MATCH($B19,Setup!$B$18:$B$31,0)),""))</f>
        <v>13</v>
      </c>
      <c r="E19" s="18" t="str">
        <f>IF($B19="","",IFERROR(INDEX(Setup!$F$18:$F$31,MATCH($B19,Setup!$B$18:$B$31,0)),""))</f>
        <v>Yes</v>
      </c>
      <c r="F19" s="18" t="str">
        <f>IF($B19="","",IFERROR(INDEX(Setup!$G$18:$G$31,MATCH($B19,Setup!$B$18:$B$31,0)),""))</f>
        <v>Yes</v>
      </c>
      <c r="G19" s="18" t="s">
        <v>39</v>
      </c>
      <c r="H19" s="18" t="s">
        <v>39</v>
      </c>
      <c r="J19" s="18">
        <v>2</v>
      </c>
      <c r="K19" s="18" t="str">
        <f t="shared" si="0"/>
        <v>Player 6</v>
      </c>
      <c r="L19" s="18" t="str">
        <f t="shared" si="1"/>
        <v/>
      </c>
      <c r="M19" s="18" t="str">
        <f>IF($K19="","",IF(OR($B$3="Stage 2",$B$3="Stage 3"),"Build to 5 positions each half",IF(COUNTIFS('Season Log'!$C$4:$C$203,$K19,'Season Log'!$D$4:$D$203,$J19)=0,"New position","Used before")))</f>
        <v>New position</v>
      </c>
      <c r="O19" s="18">
        <v>2</v>
      </c>
      <c r="P19" s="18" t="str">
        <f t="shared" si="2"/>
        <v>Player 4</v>
      </c>
      <c r="Q19" s="18" t="str">
        <f t="shared" si="3"/>
        <v/>
      </c>
      <c r="BW19" s="20">
        <f t="shared" si="4"/>
        <v>2</v>
      </c>
      <c r="BX19" s="20">
        <f>IF(AND($B$18&lt;&gt;"",$J19&lt;=$B$11,$J19&gt;=IF($C$18="",1,$C$18),$J19&lt;=IF($D$18="",$B$11,$D$18),COUNTIF($K$18:$K18,$B$18)=0),(100-IF($D$18="",$B$11,$D$18))*1000+(100-(IF($D$18="",$B$11,$D$18)-IF($C$18="",1,$C$18)+1))*100+$BW$18,-999999)</f>
        <v>-999999</v>
      </c>
      <c r="BY19" s="20">
        <f>IF(AND($B$19&lt;&gt;"",$J19&lt;=$B$11,$J19&gt;=IF($C$19="",1,$C$19),$J19&lt;=IF($D$19="",$B$11,$D$19),COUNTIF($K$18:$K18,$B$19)=0),(100-IF($D$19="",$B$11,$D$19))*1000+(100-(IF($D$19="",$B$11,$D$19)-IF($C$19="",1,$C$19)+1))*100+$BW$19,-999999)</f>
        <v>95702</v>
      </c>
      <c r="BZ19" s="20">
        <f>IF(AND($B$20&lt;&gt;"",$J19&lt;=$B$11,$J19&gt;=IF($C$20="",1,$C$20),$J19&lt;=IF($D$20="",$B$11,$D$20),COUNTIF($K$18:$K18,$B$20)=0),(100-IF($D$20="",$B$11,$D$20))*1000+(100-(IF($D$20="",$B$11,$D$20)-IF($C$20="",1,$C$20)+1))*100+$BW$20,-999999)</f>
        <v>95701</v>
      </c>
      <c r="CA19" s="20">
        <f>IF(AND($B$21&lt;&gt;"",$J19&lt;=$B$11,$J19&gt;=IF($C$21="",1,$C$21),$J19&lt;=IF($D$21="",$B$11,$D$21),COUNTIF($K$18:$K18,$B$21)=0),(100-IF($D$21="",$B$11,$D$21))*1000+(100-(IF($D$21="",$B$11,$D$21)-IF($C$21="",1,$C$21)+1))*100+$BW$21,-999999)</f>
        <v>95707</v>
      </c>
      <c r="CB19" s="20">
        <f>IF(AND($B$22&lt;&gt;"",$J19&lt;=$B$11,$J19&gt;=IF($C$22="",1,$C$22),$J19&lt;=IF($D$22="",$B$11,$D$22),COUNTIF($K$18:$K18,$B$22)=0),(100-IF($D$22="",$B$11,$D$22))*1000+(100-(IF($D$22="",$B$11,$D$22)-IF($C$22="",1,$C$22)+1))*100+$BW$22,-999999)</f>
        <v>95703</v>
      </c>
      <c r="CC19" s="20">
        <f>IF(AND($B$23&lt;&gt;"",$J19&lt;=$B$11,$J19&gt;=IF($C$23="",1,$C$23),$J19&lt;=IF($D$23="",$B$11,$D$23),COUNTIF($K$18:$K18,$B$23)=0),(100-IF($D$23="",$B$11,$D$23))*1000+(100-(IF($D$23="",$B$11,$D$23)-IF($C$23="",1,$C$23)+1))*100+$BW$23,-999999)</f>
        <v>95710</v>
      </c>
      <c r="CD19" s="20">
        <f>IF(AND($B$24&lt;&gt;"",$J19&lt;=$B$11,$J19&gt;=IF($C$24="",1,$C$24),$J19&lt;=IF($D$24="",$B$11,$D$24),COUNTIF($K$18:$K18,$B$24)=0),(100-IF($D$24="",$B$11,$D$24))*1000+(100-(IF($D$24="",$B$11,$D$24)-IF($C$24="",1,$C$24)+1))*100+$BW$24,-999999)</f>
        <v>95705</v>
      </c>
      <c r="CE19" s="20">
        <f>IF(AND($B$25&lt;&gt;"",$J19&lt;=$B$11,$J19&gt;=IF($C$25="",1,$C$25),$J19&lt;=IF($D$25="",$B$11,$D$25),COUNTIF($K$18:$K18,$B$25)=0),(100-IF($D$25="",$B$11,$D$25))*1000+(100-(IF($D$25="",$B$11,$D$25)-IF($C$25="",1,$C$25)+1))*100+$BW$25,-999999)</f>
        <v>-999999</v>
      </c>
      <c r="CF19" s="20">
        <f>IF(AND($B$26&lt;&gt;"",$J19&lt;=$B$11,$J19&gt;=IF($C$26="",1,$C$26),$J19&lt;=IF($D$26="",$B$11,$D$26),COUNTIF($K$18:$K18,$B$26)=0),(100-IF($D$26="",$B$11,$D$26))*1000+(100-(IF($D$26="",$B$11,$D$26)-IF($C$26="",1,$C$26)+1))*100+$BW$26,-999999)</f>
        <v>-999999</v>
      </c>
      <c r="CG19" s="20">
        <f>IF(AND($B$27&lt;&gt;"",$J19&lt;=$B$11,$J19&gt;=IF($C$27="",1,$C$27),$J19&lt;=IF($D$27="",$B$11,$D$27),COUNTIF($K$18:$K18,$B$27)=0),(100-IF($D$27="",$B$11,$D$27))*1000+(100-(IF($D$27="",$B$11,$D$27)-IF($C$27="",1,$C$27)+1))*100+$BW$27,-999999)</f>
        <v>-999999</v>
      </c>
      <c r="CH19" s="20">
        <f>IF(AND($B$28&lt;&gt;"",$J19&lt;=$B$11,$J19&gt;=IF($C$28="",1,$C$28),$J19&lt;=IF($D$28="",$B$11,$D$28),COUNTIF($K$18:$K18,$B$28)=0),(100-IF($D$28="",$B$11,$D$28))*1000+(100-(IF($D$28="",$B$11,$D$28)-IF($C$28="",1,$C$28)+1))*100+$BW$28,-999999)</f>
        <v>-999999</v>
      </c>
      <c r="CI19" s="20">
        <f>IF(AND($B$29&lt;&gt;"",$J19&lt;=$B$11,$J19&gt;=IF($C$29="",1,$C$29),$J19&lt;=IF($D$29="",$B$11,$D$29),COUNTIF($K$18:$K18,$B$29)=0),(100-IF($D$29="",$B$11,$D$29))*1000+(100-(IF($D$29="",$B$11,$D$29)-IF($C$29="",1,$C$29)+1))*100+$BW$29,-999999)</f>
        <v>-999999</v>
      </c>
      <c r="CJ19" s="20">
        <f>IF(AND($B$30&lt;&gt;"",$J19&lt;=$B$11,$J19&gt;=IF($C$30="",1,$C$30),$J19&lt;=IF($D$30="",$B$11,$D$30),COUNTIF($K$18:$K18,$B$30)=0),(100-IF($D$30="",$B$11,$D$30))*1000+(100-(IF($D$30="",$B$11,$D$30)-IF($C$30="",1,$C$30)+1))*100+$BW$30,-999999)</f>
        <v>-999999</v>
      </c>
      <c r="CK19" s="20">
        <f>IF(AND($B19&lt;&gt;"",$F19="Yes"),COUNTIFS($B$18:$B19,"&lt;&gt;",$F$18:$F19,"Yes"),"")</f>
        <v>2</v>
      </c>
    </row>
    <row r="20" spans="1:89" ht="15" customHeight="1">
      <c r="A20" s="18">
        <v>3</v>
      </c>
      <c r="B20" s="18" t="str">
        <f>IF($A20&gt;Setup!$B$5,"",IFERROR(INDEX(Setup!$B$18:$B$31,MATCH($A20,Setup!$J$18:$J$31,0)),""))</f>
        <v>Player 3</v>
      </c>
      <c r="C20" s="18">
        <f>IF($B20="","",IFERROR(INDEX(Setup!$D$18:$D$31,MATCH($B20,Setup!$B$18:$B$31,0)),""))</f>
        <v>1</v>
      </c>
      <c r="D20" s="18">
        <f>IF($B20="","",IFERROR(INDEX(Setup!$E$18:$E$31,MATCH($B20,Setup!$B$18:$B$31,0)),""))</f>
        <v>13</v>
      </c>
      <c r="E20" s="18" t="str">
        <f>IF($B20="","",IFERROR(INDEX(Setup!$F$18:$F$31,MATCH($B20,Setup!$B$18:$B$31,0)),""))</f>
        <v>Yes</v>
      </c>
      <c r="F20" s="18" t="str">
        <f>IF($B20="","",IFERROR(INDEX(Setup!$G$18:$G$31,MATCH($B20,Setup!$B$18:$B$31,0)),""))</f>
        <v>Yes</v>
      </c>
      <c r="G20" s="18" t="s">
        <v>39</v>
      </c>
      <c r="H20" s="18" t="s">
        <v>39</v>
      </c>
      <c r="J20" s="18">
        <v>3</v>
      </c>
      <c r="K20" s="18" t="str">
        <f t="shared" si="0"/>
        <v>Player 4</v>
      </c>
      <c r="L20" s="18" t="str">
        <f t="shared" si="1"/>
        <v/>
      </c>
      <c r="M20" s="18" t="str">
        <f>IF($K20="","",IF(OR($B$3="Stage 2",$B$3="Stage 3"),"Build to 5 positions each half",IF(COUNTIFS('Season Log'!$C$4:$C$203,$K20,'Season Log'!$D$4:$D$203,$J20)=0,"New position","Used before")))</f>
        <v>New position</v>
      </c>
      <c r="O20" s="18">
        <v>3</v>
      </c>
      <c r="P20" s="18" t="str">
        <f t="shared" si="2"/>
        <v>Player 5</v>
      </c>
      <c r="Q20" s="18" t="str">
        <f t="shared" si="3"/>
        <v/>
      </c>
      <c r="BW20" s="20">
        <f t="shared" si="4"/>
        <v>1</v>
      </c>
      <c r="BX20" s="20">
        <f>IF(AND($B$18&lt;&gt;"",$J20&lt;=$B$11,$J20&gt;=IF($C$18="",1,$C$18),$J20&lt;=IF($D$18="",$B$11,$D$18),COUNTIF($K$18:$K19,$B$18)=0),(100-IF($D$18="",$B$11,$D$18))*1000+(100-(IF($D$18="",$B$11,$D$18)-IF($C$18="",1,$C$18)+1))*100+$BW$18,-999999)</f>
        <v>-999999</v>
      </c>
      <c r="BY20" s="20">
        <f>IF(AND($B$19&lt;&gt;"",$J20&lt;=$B$11,$J20&gt;=IF($C$19="",1,$C$19),$J20&lt;=IF($D$19="",$B$11,$D$19),COUNTIF($K$18:$K19,$B$19)=0),(100-IF($D$19="",$B$11,$D$19))*1000+(100-(IF($D$19="",$B$11,$D$19)-IF($C$19="",1,$C$19)+1))*100+$BW$19,-999999)</f>
        <v>95702</v>
      </c>
      <c r="BZ20" s="20">
        <f>IF(AND($B$20&lt;&gt;"",$J20&lt;=$B$11,$J20&gt;=IF($C$20="",1,$C$20),$J20&lt;=IF($D$20="",$B$11,$D$20),COUNTIF($K$18:$K19,$B$20)=0),(100-IF($D$20="",$B$11,$D$20))*1000+(100-(IF($D$20="",$B$11,$D$20)-IF($C$20="",1,$C$20)+1))*100+$BW$20,-999999)</f>
        <v>95701</v>
      </c>
      <c r="CA20" s="20">
        <f>IF(AND($B$21&lt;&gt;"",$J20&lt;=$B$11,$J20&gt;=IF($C$21="",1,$C$21),$J20&lt;=IF($D$21="",$B$11,$D$21),COUNTIF($K$18:$K19,$B$21)=0),(100-IF($D$21="",$B$11,$D$21))*1000+(100-(IF($D$21="",$B$11,$D$21)-IF($C$21="",1,$C$21)+1))*100+$BW$21,-999999)</f>
        <v>95707</v>
      </c>
      <c r="CB20" s="20">
        <f>IF(AND($B$22&lt;&gt;"",$J20&lt;=$B$11,$J20&gt;=IF($C$22="",1,$C$22),$J20&lt;=IF($D$22="",$B$11,$D$22),COUNTIF($K$18:$K19,$B$22)=0),(100-IF($D$22="",$B$11,$D$22))*1000+(100-(IF($D$22="",$B$11,$D$22)-IF($C$22="",1,$C$22)+1))*100+$BW$22,-999999)</f>
        <v>95703</v>
      </c>
      <c r="CC20" s="20">
        <f>IF(AND($B$23&lt;&gt;"",$J20&lt;=$B$11,$J20&gt;=IF($C$23="",1,$C$23),$J20&lt;=IF($D$23="",$B$11,$D$23),COUNTIF($K$18:$K19,$B$23)=0),(100-IF($D$23="",$B$11,$D$23))*1000+(100-(IF($D$23="",$B$11,$D$23)-IF($C$23="",1,$C$23)+1))*100+$BW$23,-999999)</f>
        <v>-999999</v>
      </c>
      <c r="CD20" s="20">
        <f>IF(AND($B$24&lt;&gt;"",$J20&lt;=$B$11,$J20&gt;=IF($C$24="",1,$C$24),$J20&lt;=IF($D$24="",$B$11,$D$24),COUNTIF($K$18:$K19,$B$24)=0),(100-IF($D$24="",$B$11,$D$24))*1000+(100-(IF($D$24="",$B$11,$D$24)-IF($C$24="",1,$C$24)+1))*100+$BW$24,-999999)</f>
        <v>95705</v>
      </c>
      <c r="CE20" s="20">
        <f>IF(AND($B$25&lt;&gt;"",$J20&lt;=$B$11,$J20&gt;=IF($C$25="",1,$C$25),$J20&lt;=IF($D$25="",$B$11,$D$25),COUNTIF($K$18:$K19,$B$25)=0),(100-IF($D$25="",$B$11,$D$25))*1000+(100-(IF($D$25="",$B$11,$D$25)-IF($C$25="",1,$C$25)+1))*100+$BW$25,-999999)</f>
        <v>-999999</v>
      </c>
      <c r="CF20" s="20">
        <f>IF(AND($B$26&lt;&gt;"",$J20&lt;=$B$11,$J20&gt;=IF($C$26="",1,$C$26),$J20&lt;=IF($D$26="",$B$11,$D$26),COUNTIF($K$18:$K19,$B$26)=0),(100-IF($D$26="",$B$11,$D$26))*1000+(100-(IF($D$26="",$B$11,$D$26)-IF($C$26="",1,$C$26)+1))*100+$BW$26,-999999)</f>
        <v>-999999</v>
      </c>
      <c r="CG20" s="20">
        <f>IF(AND($B$27&lt;&gt;"",$J20&lt;=$B$11,$J20&gt;=IF($C$27="",1,$C$27),$J20&lt;=IF($D$27="",$B$11,$D$27),COUNTIF($K$18:$K19,$B$27)=0),(100-IF($D$27="",$B$11,$D$27))*1000+(100-(IF($D$27="",$B$11,$D$27)-IF($C$27="",1,$C$27)+1))*100+$BW$27,-999999)</f>
        <v>-999999</v>
      </c>
      <c r="CH20" s="20">
        <f>IF(AND($B$28&lt;&gt;"",$J20&lt;=$B$11,$J20&gt;=IF($C$28="",1,$C$28),$J20&lt;=IF($D$28="",$B$11,$D$28),COUNTIF($K$18:$K19,$B$28)=0),(100-IF($D$28="",$B$11,$D$28))*1000+(100-(IF($D$28="",$B$11,$D$28)-IF($C$28="",1,$C$28)+1))*100+$BW$28,-999999)</f>
        <v>-999999</v>
      </c>
      <c r="CI20" s="20">
        <f>IF(AND($B$29&lt;&gt;"",$J20&lt;=$B$11,$J20&gt;=IF($C$29="",1,$C$29),$J20&lt;=IF($D$29="",$B$11,$D$29),COUNTIF($K$18:$K19,$B$29)=0),(100-IF($D$29="",$B$11,$D$29))*1000+(100-(IF($D$29="",$B$11,$D$29)-IF($C$29="",1,$C$29)+1))*100+$BW$29,-999999)</f>
        <v>-999999</v>
      </c>
      <c r="CJ20" s="20">
        <f>IF(AND($B$30&lt;&gt;"",$J20&lt;=$B$11,$J20&gt;=IF($C$30="",1,$C$30),$J20&lt;=IF($D$30="",$B$11,$D$30),COUNTIF($K$18:$K19,$B$30)=0),(100-IF($D$30="",$B$11,$D$30))*1000+(100-(IF($D$30="",$B$11,$D$30)-IF($C$30="",1,$C$30)+1))*100+$BW$30,-999999)</f>
        <v>-999999</v>
      </c>
      <c r="CK20" s="20">
        <f>IF(AND($B20&lt;&gt;"",$F20="Yes"),COUNTIFS($B$18:$B20,"&lt;&gt;",$F$18:$F20,"Yes"),"")</f>
        <v>3</v>
      </c>
    </row>
    <row r="21" spans="1:89" ht="15" customHeight="1">
      <c r="A21" s="18">
        <v>4</v>
      </c>
      <c r="B21" s="18" t="str">
        <f>IF($A21&gt;Setup!$B$5,"",IFERROR(INDEX(Setup!$B$18:$B$31,MATCH($A21,Setup!$J$18:$J$31,0)),""))</f>
        <v>Player 4</v>
      </c>
      <c r="C21" s="18">
        <f>IF($B21="","",IFERROR(INDEX(Setup!$D$18:$D$31,MATCH($B21,Setup!$B$18:$B$31,0)),""))</f>
        <v>1</v>
      </c>
      <c r="D21" s="18">
        <f>IF($B21="","",IFERROR(INDEX(Setup!$E$18:$E$31,MATCH($B21,Setup!$B$18:$B$31,0)),""))</f>
        <v>13</v>
      </c>
      <c r="E21" s="18" t="str">
        <f>IF($B21="","",IFERROR(INDEX(Setup!$F$18:$F$31,MATCH($B21,Setup!$B$18:$B$31,0)),""))</f>
        <v>Yes</v>
      </c>
      <c r="F21" s="18" t="str">
        <f>IF($B21="","",IFERROR(INDEX(Setup!$G$18:$G$31,MATCH($B21,Setup!$B$18:$B$31,0)),""))</f>
        <v>Yes</v>
      </c>
      <c r="G21" s="18" t="s">
        <v>39</v>
      </c>
      <c r="H21" s="18" t="s">
        <v>39</v>
      </c>
      <c r="J21" s="18">
        <v>4</v>
      </c>
      <c r="K21" s="18" t="str">
        <f t="shared" si="0"/>
        <v>Player 7</v>
      </c>
      <c r="L21" s="18" t="str">
        <f t="shared" si="1"/>
        <v/>
      </c>
      <c r="M21" s="18" t="str">
        <f>IF($K21="","",IF(OR($B$3="Stage 2",$B$3="Stage 3"),"Build to 5 positions each half",IF(COUNTIFS('Season Log'!$C$4:$C$203,$K21,'Season Log'!$D$4:$D$203,$J21)=0,"New position","Used before")))</f>
        <v>New position</v>
      </c>
      <c r="O21" s="18">
        <v>4</v>
      </c>
      <c r="P21" s="18" t="str">
        <f t="shared" si="2"/>
        <v>Player 6</v>
      </c>
      <c r="Q21" s="18" t="str">
        <f t="shared" si="3"/>
        <v/>
      </c>
      <c r="BW21" s="20">
        <f t="shared" si="4"/>
        <v>7</v>
      </c>
      <c r="BX21" s="20">
        <f>IF(AND($B$18&lt;&gt;"",$J21&lt;=$B$11,$J21&gt;=IF($C$18="",1,$C$18),$J21&lt;=IF($D$18="",$B$11,$D$18),COUNTIF($K$18:$K20,$B$18)=0),(100-IF($D$18="",$B$11,$D$18))*1000+(100-(IF($D$18="",$B$11,$D$18)-IF($C$18="",1,$C$18)+1))*100+$BW$18,-999999)</f>
        <v>-999999</v>
      </c>
      <c r="BY21" s="20">
        <f>IF(AND($B$19&lt;&gt;"",$J21&lt;=$B$11,$J21&gt;=IF($C$19="",1,$C$19),$J21&lt;=IF($D$19="",$B$11,$D$19),COUNTIF($K$18:$K20,$B$19)=0),(100-IF($D$19="",$B$11,$D$19))*1000+(100-(IF($D$19="",$B$11,$D$19)-IF($C$19="",1,$C$19)+1))*100+$BW$19,-999999)</f>
        <v>95702</v>
      </c>
      <c r="BZ21" s="20">
        <f>IF(AND($B$20&lt;&gt;"",$J21&lt;=$B$11,$J21&gt;=IF($C$20="",1,$C$20),$J21&lt;=IF($D$20="",$B$11,$D$20),COUNTIF($K$18:$K20,$B$20)=0),(100-IF($D$20="",$B$11,$D$20))*1000+(100-(IF($D$20="",$B$11,$D$20)-IF($C$20="",1,$C$20)+1))*100+$BW$20,-999999)</f>
        <v>95701</v>
      </c>
      <c r="CA21" s="20">
        <f>IF(AND($B$21&lt;&gt;"",$J21&lt;=$B$11,$J21&gt;=IF($C$21="",1,$C$21),$J21&lt;=IF($D$21="",$B$11,$D$21),COUNTIF($K$18:$K20,$B$21)=0),(100-IF($D$21="",$B$11,$D$21))*1000+(100-(IF($D$21="",$B$11,$D$21)-IF($C$21="",1,$C$21)+1))*100+$BW$21,-999999)</f>
        <v>-999999</v>
      </c>
      <c r="CB21" s="20">
        <f>IF(AND($B$22&lt;&gt;"",$J21&lt;=$B$11,$J21&gt;=IF($C$22="",1,$C$22),$J21&lt;=IF($D$22="",$B$11,$D$22),COUNTIF($K$18:$K20,$B$22)=0),(100-IF($D$22="",$B$11,$D$22))*1000+(100-(IF($D$22="",$B$11,$D$22)-IF($C$22="",1,$C$22)+1))*100+$BW$22,-999999)</f>
        <v>95703</v>
      </c>
      <c r="CC21" s="20">
        <f>IF(AND($B$23&lt;&gt;"",$J21&lt;=$B$11,$J21&gt;=IF($C$23="",1,$C$23),$J21&lt;=IF($D$23="",$B$11,$D$23),COUNTIF($K$18:$K20,$B$23)=0),(100-IF($D$23="",$B$11,$D$23))*1000+(100-(IF($D$23="",$B$11,$D$23)-IF($C$23="",1,$C$23)+1))*100+$BW$23,-999999)</f>
        <v>-999999</v>
      </c>
      <c r="CD21" s="20">
        <f>IF(AND($B$24&lt;&gt;"",$J21&lt;=$B$11,$J21&gt;=IF($C$24="",1,$C$24),$J21&lt;=IF($D$24="",$B$11,$D$24),COUNTIF($K$18:$K20,$B$24)=0),(100-IF($D$24="",$B$11,$D$24))*1000+(100-(IF($D$24="",$B$11,$D$24)-IF($C$24="",1,$C$24)+1))*100+$BW$24,-999999)</f>
        <v>95705</v>
      </c>
      <c r="CE21" s="20">
        <f>IF(AND($B$25&lt;&gt;"",$J21&lt;=$B$11,$J21&gt;=IF($C$25="",1,$C$25),$J21&lt;=IF($D$25="",$B$11,$D$25),COUNTIF($K$18:$K20,$B$25)=0),(100-IF($D$25="",$B$11,$D$25))*1000+(100-(IF($D$25="",$B$11,$D$25)-IF($C$25="",1,$C$25)+1))*100+$BW$25,-999999)</f>
        <v>-999999</v>
      </c>
      <c r="CF21" s="20">
        <f>IF(AND($B$26&lt;&gt;"",$J21&lt;=$B$11,$J21&gt;=IF($C$26="",1,$C$26),$J21&lt;=IF($D$26="",$B$11,$D$26),COUNTIF($K$18:$K20,$B$26)=0),(100-IF($D$26="",$B$11,$D$26))*1000+(100-(IF($D$26="",$B$11,$D$26)-IF($C$26="",1,$C$26)+1))*100+$BW$26,-999999)</f>
        <v>-999999</v>
      </c>
      <c r="CG21" s="20">
        <f>IF(AND($B$27&lt;&gt;"",$J21&lt;=$B$11,$J21&gt;=IF($C$27="",1,$C$27),$J21&lt;=IF($D$27="",$B$11,$D$27),COUNTIF($K$18:$K20,$B$27)=0),(100-IF($D$27="",$B$11,$D$27))*1000+(100-(IF($D$27="",$B$11,$D$27)-IF($C$27="",1,$C$27)+1))*100+$BW$27,-999999)</f>
        <v>-999999</v>
      </c>
      <c r="CH21" s="20">
        <f>IF(AND($B$28&lt;&gt;"",$J21&lt;=$B$11,$J21&gt;=IF($C$28="",1,$C$28),$J21&lt;=IF($D$28="",$B$11,$D$28),COUNTIF($K$18:$K20,$B$28)=0),(100-IF($D$28="",$B$11,$D$28))*1000+(100-(IF($D$28="",$B$11,$D$28)-IF($C$28="",1,$C$28)+1))*100+$BW$28,-999999)</f>
        <v>-999999</v>
      </c>
      <c r="CI21" s="20">
        <f>IF(AND($B$29&lt;&gt;"",$J21&lt;=$B$11,$J21&gt;=IF($C$29="",1,$C$29),$J21&lt;=IF($D$29="",$B$11,$D$29),COUNTIF($K$18:$K20,$B$29)=0),(100-IF($D$29="",$B$11,$D$29))*1000+(100-(IF($D$29="",$B$11,$D$29)-IF($C$29="",1,$C$29)+1))*100+$BW$29,-999999)</f>
        <v>-999999</v>
      </c>
      <c r="CJ21" s="20">
        <f>IF(AND($B$30&lt;&gt;"",$J21&lt;=$B$11,$J21&gt;=IF($C$30="",1,$C$30),$J21&lt;=IF($D$30="",$B$11,$D$30),COUNTIF($K$18:$K20,$B$30)=0),(100-IF($D$30="",$B$11,$D$30))*1000+(100-(IF($D$30="",$B$11,$D$30)-IF($C$30="",1,$C$30)+1))*100+$BW$30,-999999)</f>
        <v>-999999</v>
      </c>
      <c r="CK21" s="20">
        <f>IF(AND($B21&lt;&gt;"",$F21="Yes"),COUNTIFS($B$18:$B21,"&lt;&gt;",$F$18:$F21,"Yes"),"")</f>
        <v>4</v>
      </c>
    </row>
    <row r="22" spans="1:89" ht="15" customHeight="1">
      <c r="A22" s="18">
        <v>5</v>
      </c>
      <c r="B22" s="18" t="str">
        <f>IF($A22&gt;Setup!$B$5,"",IFERROR(INDEX(Setup!$B$18:$B$31,MATCH($A22,Setup!$J$18:$J$31,0)),""))</f>
        <v>Player 5</v>
      </c>
      <c r="C22" s="18">
        <f>IF($B22="","",IFERROR(INDEX(Setup!$D$18:$D$31,MATCH($B22,Setup!$B$18:$B$31,0)),""))</f>
        <v>1</v>
      </c>
      <c r="D22" s="18">
        <f>IF($B22="","",IFERROR(INDEX(Setup!$E$18:$E$31,MATCH($B22,Setup!$B$18:$B$31,0)),""))</f>
        <v>13</v>
      </c>
      <c r="E22" s="18" t="str">
        <f>IF($B22="","",IFERROR(INDEX(Setup!$F$18:$F$31,MATCH($B22,Setup!$B$18:$B$31,0)),""))</f>
        <v>Yes</v>
      </c>
      <c r="F22" s="18" t="str">
        <f>IF($B22="","",IFERROR(INDEX(Setup!$G$18:$G$31,MATCH($B22,Setup!$B$18:$B$31,0)),""))</f>
        <v>Yes</v>
      </c>
      <c r="G22" s="18" t="s">
        <v>39</v>
      </c>
      <c r="H22" s="18" t="s">
        <v>39</v>
      </c>
      <c r="J22" s="18">
        <v>5</v>
      </c>
      <c r="K22" s="18" t="str">
        <f t="shared" si="0"/>
        <v>Player 5</v>
      </c>
      <c r="L22" s="18" t="str">
        <f t="shared" si="1"/>
        <v/>
      </c>
      <c r="M22" s="18" t="str">
        <f>IF($K22="","",IF(OR($B$3="Stage 2",$B$3="Stage 3"),"Build to 5 positions each half",IF(COUNTIFS('Season Log'!$C$4:$C$203,$K22,'Season Log'!$D$4:$D$203,$J22)=0,"New position","Used before")))</f>
        <v>New position</v>
      </c>
      <c r="O22" s="18">
        <v>5</v>
      </c>
      <c r="P22" s="18" t="str">
        <f t="shared" si="2"/>
        <v>Player 7</v>
      </c>
      <c r="Q22" s="18" t="str">
        <f t="shared" si="3"/>
        <v/>
      </c>
      <c r="BW22" s="20">
        <f t="shared" si="4"/>
        <v>3</v>
      </c>
      <c r="BX22" s="20">
        <f>IF(AND($B$18&lt;&gt;"",$J22&lt;=$B$11,$J22&gt;=IF($C$18="",1,$C$18),$J22&lt;=IF($D$18="",$B$11,$D$18),COUNTIF($K$18:$K21,$B$18)=0),(100-IF($D$18="",$B$11,$D$18))*1000+(100-(IF($D$18="",$B$11,$D$18)-IF($C$18="",1,$C$18)+1))*100+$BW$18,-999999)</f>
        <v>-999999</v>
      </c>
      <c r="BY22" s="20">
        <f>IF(AND($B$19&lt;&gt;"",$J22&lt;=$B$11,$J22&gt;=IF($C$19="",1,$C$19),$J22&lt;=IF($D$19="",$B$11,$D$19),COUNTIF($K$18:$K21,$B$19)=0),(100-IF($D$19="",$B$11,$D$19))*1000+(100-(IF($D$19="",$B$11,$D$19)-IF($C$19="",1,$C$19)+1))*100+$BW$19,-999999)</f>
        <v>95702</v>
      </c>
      <c r="BZ22" s="20">
        <f>IF(AND($B$20&lt;&gt;"",$J22&lt;=$B$11,$J22&gt;=IF($C$20="",1,$C$20),$J22&lt;=IF($D$20="",$B$11,$D$20),COUNTIF($K$18:$K21,$B$20)=0),(100-IF($D$20="",$B$11,$D$20))*1000+(100-(IF($D$20="",$B$11,$D$20)-IF($C$20="",1,$C$20)+1))*100+$BW$20,-999999)</f>
        <v>95701</v>
      </c>
      <c r="CA22" s="20">
        <f>IF(AND($B$21&lt;&gt;"",$J22&lt;=$B$11,$J22&gt;=IF($C$21="",1,$C$21),$J22&lt;=IF($D$21="",$B$11,$D$21),COUNTIF($K$18:$K21,$B$21)=0),(100-IF($D$21="",$B$11,$D$21))*1000+(100-(IF($D$21="",$B$11,$D$21)-IF($C$21="",1,$C$21)+1))*100+$BW$21,-999999)</f>
        <v>-999999</v>
      </c>
      <c r="CB22" s="20">
        <f>IF(AND($B$22&lt;&gt;"",$J22&lt;=$B$11,$J22&gt;=IF($C$22="",1,$C$22),$J22&lt;=IF($D$22="",$B$11,$D$22),COUNTIF($K$18:$K21,$B$22)=0),(100-IF($D$22="",$B$11,$D$22))*1000+(100-(IF($D$22="",$B$11,$D$22)-IF($C$22="",1,$C$22)+1))*100+$BW$22,-999999)</f>
        <v>95703</v>
      </c>
      <c r="CC22" s="20">
        <f>IF(AND($B$23&lt;&gt;"",$J22&lt;=$B$11,$J22&gt;=IF($C$23="",1,$C$23),$J22&lt;=IF($D$23="",$B$11,$D$23),COUNTIF($K$18:$K21,$B$23)=0),(100-IF($D$23="",$B$11,$D$23))*1000+(100-(IF($D$23="",$B$11,$D$23)-IF($C$23="",1,$C$23)+1))*100+$BW$23,-999999)</f>
        <v>-999999</v>
      </c>
      <c r="CD22" s="20">
        <f>IF(AND($B$24&lt;&gt;"",$J22&lt;=$B$11,$J22&gt;=IF($C$24="",1,$C$24),$J22&lt;=IF($D$24="",$B$11,$D$24),COUNTIF($K$18:$K21,$B$24)=0),(100-IF($D$24="",$B$11,$D$24))*1000+(100-(IF($D$24="",$B$11,$D$24)-IF($C$24="",1,$C$24)+1))*100+$BW$24,-999999)</f>
        <v>-999999</v>
      </c>
      <c r="CE22" s="20">
        <f>IF(AND($B$25&lt;&gt;"",$J22&lt;=$B$11,$J22&gt;=IF($C$25="",1,$C$25),$J22&lt;=IF($D$25="",$B$11,$D$25),COUNTIF($K$18:$K21,$B$25)=0),(100-IF($D$25="",$B$11,$D$25))*1000+(100-(IF($D$25="",$B$11,$D$25)-IF($C$25="",1,$C$25)+1))*100+$BW$25,-999999)</f>
        <v>-999999</v>
      </c>
      <c r="CF22" s="20">
        <f>IF(AND($B$26&lt;&gt;"",$J22&lt;=$B$11,$J22&gt;=IF($C$26="",1,$C$26),$J22&lt;=IF($D$26="",$B$11,$D$26),COUNTIF($K$18:$K21,$B$26)=0),(100-IF($D$26="",$B$11,$D$26))*1000+(100-(IF($D$26="",$B$11,$D$26)-IF($C$26="",1,$C$26)+1))*100+$BW$26,-999999)</f>
        <v>-999999</v>
      </c>
      <c r="CG22" s="20">
        <f>IF(AND($B$27&lt;&gt;"",$J22&lt;=$B$11,$J22&gt;=IF($C$27="",1,$C$27),$J22&lt;=IF($D$27="",$B$11,$D$27),COUNTIF($K$18:$K21,$B$27)=0),(100-IF($D$27="",$B$11,$D$27))*1000+(100-(IF($D$27="",$B$11,$D$27)-IF($C$27="",1,$C$27)+1))*100+$BW$27,-999999)</f>
        <v>-999999</v>
      </c>
      <c r="CH22" s="20">
        <f>IF(AND($B$28&lt;&gt;"",$J22&lt;=$B$11,$J22&gt;=IF($C$28="",1,$C$28),$J22&lt;=IF($D$28="",$B$11,$D$28),COUNTIF($K$18:$K21,$B$28)=0),(100-IF($D$28="",$B$11,$D$28))*1000+(100-(IF($D$28="",$B$11,$D$28)-IF($C$28="",1,$C$28)+1))*100+$BW$28,-999999)</f>
        <v>-999999</v>
      </c>
      <c r="CI22" s="20">
        <f>IF(AND($B$29&lt;&gt;"",$J22&lt;=$B$11,$J22&gt;=IF($C$29="",1,$C$29),$J22&lt;=IF($D$29="",$B$11,$D$29),COUNTIF($K$18:$K21,$B$29)=0),(100-IF($D$29="",$B$11,$D$29))*1000+(100-(IF($D$29="",$B$11,$D$29)-IF($C$29="",1,$C$29)+1))*100+$BW$29,-999999)</f>
        <v>-999999</v>
      </c>
      <c r="CJ22" s="20">
        <f>IF(AND($B$30&lt;&gt;"",$J22&lt;=$B$11,$J22&gt;=IF($C$30="",1,$C$30),$J22&lt;=IF($D$30="",$B$11,$D$30),COUNTIF($K$18:$K21,$B$30)=0),(100-IF($D$30="",$B$11,$D$30))*1000+(100-(IF($D$30="",$B$11,$D$30)-IF($C$30="",1,$C$30)+1))*100+$BW$30,-999999)</f>
        <v>-999999</v>
      </c>
      <c r="CK22" s="20">
        <f>IF(AND($B22&lt;&gt;"",$F22="Yes"),COUNTIFS($B$18:$B22,"&lt;&gt;",$F$18:$F22,"Yes"),"")</f>
        <v>5</v>
      </c>
    </row>
    <row r="23" spans="1:89" ht="15" customHeight="1">
      <c r="A23" s="18">
        <v>6</v>
      </c>
      <c r="B23" s="18" t="str">
        <f>IF($A23&gt;Setup!$B$5,"",IFERROR(INDEX(Setup!$B$18:$B$31,MATCH($A23,Setup!$J$18:$J$31,0)),""))</f>
        <v>Player 6</v>
      </c>
      <c r="C23" s="18">
        <f>IF($B23="","",IFERROR(INDEX(Setup!$D$18:$D$31,MATCH($B23,Setup!$B$18:$B$31,0)),""))</f>
        <v>1</v>
      </c>
      <c r="D23" s="18">
        <f>IF($B23="","",IFERROR(INDEX(Setup!$E$18:$E$31,MATCH($B23,Setup!$B$18:$B$31,0)),""))</f>
        <v>13</v>
      </c>
      <c r="E23" s="18" t="str">
        <f>IF($B23="","",IFERROR(INDEX(Setup!$F$18:$F$31,MATCH($B23,Setup!$B$18:$B$31,0)),""))</f>
        <v>Yes</v>
      </c>
      <c r="F23" s="18" t="str">
        <f>IF($B23="","",IFERROR(INDEX(Setup!$G$18:$G$31,MATCH($B23,Setup!$B$18:$B$31,0)),""))</f>
        <v>Yes</v>
      </c>
      <c r="G23" s="18" t="s">
        <v>39</v>
      </c>
      <c r="H23" s="18" t="s">
        <v>39</v>
      </c>
      <c r="J23" s="18">
        <v>6</v>
      </c>
      <c r="K23" s="18" t="str">
        <f t="shared" si="0"/>
        <v>Player 2</v>
      </c>
      <c r="L23" s="18" t="str">
        <f t="shared" si="1"/>
        <v/>
      </c>
      <c r="M23" s="18" t="str">
        <f>IF($K23="","",IF(OR($B$3="Stage 2",$B$3="Stage 3"),"Build to 5 positions each half",IF(COUNTIFS('Season Log'!$C$4:$C$203,$K23,'Season Log'!$D$4:$D$203,$J23)=0,"New position","Used before")))</f>
        <v>New position</v>
      </c>
      <c r="O23" s="18">
        <v>6</v>
      </c>
      <c r="P23" s="18" t="str">
        <f t="shared" si="2"/>
        <v>Player 1</v>
      </c>
      <c r="Q23" s="18" t="str">
        <f t="shared" si="3"/>
        <v/>
      </c>
      <c r="BW23" s="20">
        <f t="shared" si="4"/>
        <v>10</v>
      </c>
      <c r="BX23" s="20">
        <f>IF(AND($B$18&lt;&gt;"",$J23&lt;=$B$11,$J23&gt;=IF($C$18="",1,$C$18),$J23&lt;=IF($D$18="",$B$11,$D$18),COUNTIF($K$18:$K22,$B$18)=0),(100-IF($D$18="",$B$11,$D$18))*1000+(100-(IF($D$18="",$B$11,$D$18)-IF($C$18="",1,$C$18)+1))*100+$BW$18,-999999)</f>
        <v>-999999</v>
      </c>
      <c r="BY23" s="20">
        <f>IF(AND($B$19&lt;&gt;"",$J23&lt;=$B$11,$J23&gt;=IF($C$19="",1,$C$19),$J23&lt;=IF($D$19="",$B$11,$D$19),COUNTIF($K$18:$K22,$B$19)=0),(100-IF($D$19="",$B$11,$D$19))*1000+(100-(IF($D$19="",$B$11,$D$19)-IF($C$19="",1,$C$19)+1))*100+$BW$19,-999999)</f>
        <v>95702</v>
      </c>
      <c r="BZ23" s="20">
        <f>IF(AND($B$20&lt;&gt;"",$J23&lt;=$B$11,$J23&gt;=IF($C$20="",1,$C$20),$J23&lt;=IF($D$20="",$B$11,$D$20),COUNTIF($K$18:$K22,$B$20)=0),(100-IF($D$20="",$B$11,$D$20))*1000+(100-(IF($D$20="",$B$11,$D$20)-IF($C$20="",1,$C$20)+1))*100+$BW$20,-999999)</f>
        <v>95701</v>
      </c>
      <c r="CA23" s="20">
        <f>IF(AND($B$21&lt;&gt;"",$J23&lt;=$B$11,$J23&gt;=IF($C$21="",1,$C$21),$J23&lt;=IF($D$21="",$B$11,$D$21),COUNTIF($K$18:$K22,$B$21)=0),(100-IF($D$21="",$B$11,$D$21))*1000+(100-(IF($D$21="",$B$11,$D$21)-IF($C$21="",1,$C$21)+1))*100+$BW$21,-999999)</f>
        <v>-999999</v>
      </c>
      <c r="CB23" s="20">
        <f>IF(AND($B$22&lt;&gt;"",$J23&lt;=$B$11,$J23&gt;=IF($C$22="",1,$C$22),$J23&lt;=IF($D$22="",$B$11,$D$22),COUNTIF($K$18:$K22,$B$22)=0),(100-IF($D$22="",$B$11,$D$22))*1000+(100-(IF($D$22="",$B$11,$D$22)-IF($C$22="",1,$C$22)+1))*100+$BW$22,-999999)</f>
        <v>-999999</v>
      </c>
      <c r="CC23" s="20">
        <f>IF(AND($B$23&lt;&gt;"",$J23&lt;=$B$11,$J23&gt;=IF($C$23="",1,$C$23),$J23&lt;=IF($D$23="",$B$11,$D$23),COUNTIF($K$18:$K22,$B$23)=0),(100-IF($D$23="",$B$11,$D$23))*1000+(100-(IF($D$23="",$B$11,$D$23)-IF($C$23="",1,$C$23)+1))*100+$BW$23,-999999)</f>
        <v>-999999</v>
      </c>
      <c r="CD23" s="20">
        <f>IF(AND($B$24&lt;&gt;"",$J23&lt;=$B$11,$J23&gt;=IF($C$24="",1,$C$24),$J23&lt;=IF($D$24="",$B$11,$D$24),COUNTIF($K$18:$K22,$B$24)=0),(100-IF($D$24="",$B$11,$D$24))*1000+(100-(IF($D$24="",$B$11,$D$24)-IF($C$24="",1,$C$24)+1))*100+$BW$24,-999999)</f>
        <v>-999999</v>
      </c>
      <c r="CE23" s="20">
        <f>IF(AND($B$25&lt;&gt;"",$J23&lt;=$B$11,$J23&gt;=IF($C$25="",1,$C$25),$J23&lt;=IF($D$25="",$B$11,$D$25),COUNTIF($K$18:$K22,$B$25)=0),(100-IF($D$25="",$B$11,$D$25))*1000+(100-(IF($D$25="",$B$11,$D$25)-IF($C$25="",1,$C$25)+1))*100+$BW$25,-999999)</f>
        <v>-999999</v>
      </c>
      <c r="CF23" s="20">
        <f>IF(AND($B$26&lt;&gt;"",$J23&lt;=$B$11,$J23&gt;=IF($C$26="",1,$C$26),$J23&lt;=IF($D$26="",$B$11,$D$26),COUNTIF($K$18:$K22,$B$26)=0),(100-IF($D$26="",$B$11,$D$26))*1000+(100-(IF($D$26="",$B$11,$D$26)-IF($C$26="",1,$C$26)+1))*100+$BW$26,-999999)</f>
        <v>-999999</v>
      </c>
      <c r="CG23" s="20">
        <f>IF(AND($B$27&lt;&gt;"",$J23&lt;=$B$11,$J23&gt;=IF($C$27="",1,$C$27),$J23&lt;=IF($D$27="",$B$11,$D$27),COUNTIF($K$18:$K22,$B$27)=0),(100-IF($D$27="",$B$11,$D$27))*1000+(100-(IF($D$27="",$B$11,$D$27)-IF($C$27="",1,$C$27)+1))*100+$BW$27,-999999)</f>
        <v>-999999</v>
      </c>
      <c r="CH23" s="20">
        <f>IF(AND($B$28&lt;&gt;"",$J23&lt;=$B$11,$J23&gt;=IF($C$28="",1,$C$28),$J23&lt;=IF($D$28="",$B$11,$D$28),COUNTIF($K$18:$K22,$B$28)=0),(100-IF($D$28="",$B$11,$D$28))*1000+(100-(IF($D$28="",$B$11,$D$28)-IF($C$28="",1,$C$28)+1))*100+$BW$28,-999999)</f>
        <v>-999999</v>
      </c>
      <c r="CI23" s="20">
        <f>IF(AND($B$29&lt;&gt;"",$J23&lt;=$B$11,$J23&gt;=IF($C$29="",1,$C$29),$J23&lt;=IF($D$29="",$B$11,$D$29),COUNTIF($K$18:$K22,$B$29)=0),(100-IF($D$29="",$B$11,$D$29))*1000+(100-(IF($D$29="",$B$11,$D$29)-IF($C$29="",1,$C$29)+1))*100+$BW$29,-999999)</f>
        <v>-999999</v>
      </c>
      <c r="CJ23" s="20">
        <f>IF(AND($B$30&lt;&gt;"",$J23&lt;=$B$11,$J23&gt;=IF($C$30="",1,$C$30),$J23&lt;=IF($D$30="",$B$11,$D$30),COUNTIF($K$18:$K22,$B$30)=0),(100-IF($D$30="",$B$11,$D$30))*1000+(100-(IF($D$30="",$B$11,$D$30)-IF($C$30="",1,$C$30)+1))*100+$BW$30,-999999)</f>
        <v>-999999</v>
      </c>
      <c r="CK23" s="20">
        <f>IF(AND($B23&lt;&gt;"",$F23="Yes"),COUNTIFS($B$18:$B23,"&lt;&gt;",$F$18:$F23,"Yes"),"")</f>
        <v>6</v>
      </c>
    </row>
    <row r="24" spans="1:89" ht="15" customHeight="1">
      <c r="A24" s="18">
        <v>7</v>
      </c>
      <c r="B24" s="18" t="str">
        <f>IF($A24&gt;Setup!$B$5,"",IFERROR(INDEX(Setup!$B$18:$B$31,MATCH($A24,Setup!$J$18:$J$31,0)),""))</f>
        <v>Player 7</v>
      </c>
      <c r="C24" s="18">
        <f>IF($B24="","",IFERROR(INDEX(Setup!$D$18:$D$31,MATCH($B24,Setup!$B$18:$B$31,0)),""))</f>
        <v>1</v>
      </c>
      <c r="D24" s="18">
        <f>IF($B24="","",IFERROR(INDEX(Setup!$E$18:$E$31,MATCH($B24,Setup!$B$18:$B$31,0)),""))</f>
        <v>13</v>
      </c>
      <c r="E24" s="18" t="str">
        <f>IF($B24="","",IFERROR(INDEX(Setup!$F$18:$F$31,MATCH($B24,Setup!$B$18:$B$31,0)),""))</f>
        <v>Yes</v>
      </c>
      <c r="F24" s="18" t="str">
        <f>IF($B24="","",IFERROR(INDEX(Setup!$G$18:$G$31,MATCH($B24,Setup!$B$18:$B$31,0)),""))</f>
        <v>Yes</v>
      </c>
      <c r="G24" s="18" t="s">
        <v>39</v>
      </c>
      <c r="H24" s="18" t="s">
        <v>39</v>
      </c>
      <c r="J24" s="18">
        <v>7</v>
      </c>
      <c r="K24" s="18" t="str">
        <f t="shared" si="0"/>
        <v>Player 3</v>
      </c>
      <c r="L24" s="18" t="str">
        <f t="shared" si="1"/>
        <v/>
      </c>
      <c r="M24" s="18" t="str">
        <f>IF($K24="","",IF(OR($B$3="Stage 2",$B$3="Stage 3"),"Build to 5 positions each half",IF(COUNTIFS('Season Log'!$C$4:$C$203,$K24,'Season Log'!$D$4:$D$203,$J24)=0,"New position","Used before")))</f>
        <v>New position</v>
      </c>
      <c r="O24" s="18">
        <v>7</v>
      </c>
      <c r="P24" s="18" t="str">
        <f t="shared" si="2"/>
        <v>Player 2</v>
      </c>
      <c r="Q24" s="18" t="str">
        <f t="shared" si="3"/>
        <v/>
      </c>
      <c r="BW24" s="20">
        <f t="shared" si="4"/>
        <v>5</v>
      </c>
      <c r="BX24" s="20">
        <f>IF(AND($B$18&lt;&gt;"",$J24&lt;=$B$11,$J24&gt;=IF($C$18="",1,$C$18),$J24&lt;=IF($D$18="",$B$11,$D$18),COUNTIF($K$18:$K23,$B$18)=0),(100-IF($D$18="",$B$11,$D$18))*1000+(100-(IF($D$18="",$B$11,$D$18)-IF($C$18="",1,$C$18)+1))*100+$BW$18,-999999)</f>
        <v>-999999</v>
      </c>
      <c r="BY24" s="20">
        <f>IF(AND($B$19&lt;&gt;"",$J24&lt;=$B$11,$J24&gt;=IF($C$19="",1,$C$19),$J24&lt;=IF($D$19="",$B$11,$D$19),COUNTIF($K$18:$K23,$B$19)=0),(100-IF($D$19="",$B$11,$D$19))*1000+(100-(IF($D$19="",$B$11,$D$19)-IF($C$19="",1,$C$19)+1))*100+$BW$19,-999999)</f>
        <v>-999999</v>
      </c>
      <c r="BZ24" s="20">
        <f>IF(AND($B$20&lt;&gt;"",$J24&lt;=$B$11,$J24&gt;=IF($C$20="",1,$C$20),$J24&lt;=IF($D$20="",$B$11,$D$20),COUNTIF($K$18:$K23,$B$20)=0),(100-IF($D$20="",$B$11,$D$20))*1000+(100-(IF($D$20="",$B$11,$D$20)-IF($C$20="",1,$C$20)+1))*100+$BW$20,-999999)</f>
        <v>95701</v>
      </c>
      <c r="CA24" s="20">
        <f>IF(AND($B$21&lt;&gt;"",$J24&lt;=$B$11,$J24&gt;=IF($C$21="",1,$C$21),$J24&lt;=IF($D$21="",$B$11,$D$21),COUNTIF($K$18:$K23,$B$21)=0),(100-IF($D$21="",$B$11,$D$21))*1000+(100-(IF($D$21="",$B$11,$D$21)-IF($C$21="",1,$C$21)+1))*100+$BW$21,-999999)</f>
        <v>-999999</v>
      </c>
      <c r="CB24" s="20">
        <f>IF(AND($B$22&lt;&gt;"",$J24&lt;=$B$11,$J24&gt;=IF($C$22="",1,$C$22),$J24&lt;=IF($D$22="",$B$11,$D$22),COUNTIF($K$18:$K23,$B$22)=0),(100-IF($D$22="",$B$11,$D$22))*1000+(100-(IF($D$22="",$B$11,$D$22)-IF($C$22="",1,$C$22)+1))*100+$BW$22,-999999)</f>
        <v>-999999</v>
      </c>
      <c r="CC24" s="20">
        <f>IF(AND($B$23&lt;&gt;"",$J24&lt;=$B$11,$J24&gt;=IF($C$23="",1,$C$23),$J24&lt;=IF($D$23="",$B$11,$D$23),COUNTIF($K$18:$K23,$B$23)=0),(100-IF($D$23="",$B$11,$D$23))*1000+(100-(IF($D$23="",$B$11,$D$23)-IF($C$23="",1,$C$23)+1))*100+$BW$23,-999999)</f>
        <v>-999999</v>
      </c>
      <c r="CD24" s="20">
        <f>IF(AND($B$24&lt;&gt;"",$J24&lt;=$B$11,$J24&gt;=IF($C$24="",1,$C$24),$J24&lt;=IF($D$24="",$B$11,$D$24),COUNTIF($K$18:$K23,$B$24)=0),(100-IF($D$24="",$B$11,$D$24))*1000+(100-(IF($D$24="",$B$11,$D$24)-IF($C$24="",1,$C$24)+1))*100+$BW$24,-999999)</f>
        <v>-999999</v>
      </c>
      <c r="CE24" s="20">
        <f>IF(AND($B$25&lt;&gt;"",$J24&lt;=$B$11,$J24&gt;=IF($C$25="",1,$C$25),$J24&lt;=IF($D$25="",$B$11,$D$25),COUNTIF($K$18:$K23,$B$25)=0),(100-IF($D$25="",$B$11,$D$25))*1000+(100-(IF($D$25="",$B$11,$D$25)-IF($C$25="",1,$C$25)+1))*100+$BW$25,-999999)</f>
        <v>-999999</v>
      </c>
      <c r="CF24" s="20">
        <f>IF(AND($B$26&lt;&gt;"",$J24&lt;=$B$11,$J24&gt;=IF($C$26="",1,$C$26),$J24&lt;=IF($D$26="",$B$11,$D$26),COUNTIF($K$18:$K23,$B$26)=0),(100-IF($D$26="",$B$11,$D$26))*1000+(100-(IF($D$26="",$B$11,$D$26)-IF($C$26="",1,$C$26)+1))*100+$BW$26,-999999)</f>
        <v>-999999</v>
      </c>
      <c r="CG24" s="20">
        <f>IF(AND($B$27&lt;&gt;"",$J24&lt;=$B$11,$J24&gt;=IF($C$27="",1,$C$27),$J24&lt;=IF($D$27="",$B$11,$D$27),COUNTIF($K$18:$K23,$B$27)=0),(100-IF($D$27="",$B$11,$D$27))*1000+(100-(IF($D$27="",$B$11,$D$27)-IF($C$27="",1,$C$27)+1))*100+$BW$27,-999999)</f>
        <v>-999999</v>
      </c>
      <c r="CH24" s="20">
        <f>IF(AND($B$28&lt;&gt;"",$J24&lt;=$B$11,$J24&gt;=IF($C$28="",1,$C$28),$J24&lt;=IF($D$28="",$B$11,$D$28),COUNTIF($K$18:$K23,$B$28)=0),(100-IF($D$28="",$B$11,$D$28))*1000+(100-(IF($D$28="",$B$11,$D$28)-IF($C$28="",1,$C$28)+1))*100+$BW$28,-999999)</f>
        <v>-999999</v>
      </c>
      <c r="CI24" s="20">
        <f>IF(AND($B$29&lt;&gt;"",$J24&lt;=$B$11,$J24&gt;=IF($C$29="",1,$C$29),$J24&lt;=IF($D$29="",$B$11,$D$29),COUNTIF($K$18:$K23,$B$29)=0),(100-IF($D$29="",$B$11,$D$29))*1000+(100-(IF($D$29="",$B$11,$D$29)-IF($C$29="",1,$C$29)+1))*100+$BW$29,-999999)</f>
        <v>-999999</v>
      </c>
      <c r="CJ24" s="20">
        <f>IF(AND($B$30&lt;&gt;"",$J24&lt;=$B$11,$J24&gt;=IF($C$30="",1,$C$30),$J24&lt;=IF($D$30="",$B$11,$D$30),COUNTIF($K$18:$K23,$B$30)=0),(100-IF($D$30="",$B$11,$D$30))*1000+(100-(IF($D$30="",$B$11,$D$30)-IF($C$30="",1,$C$30)+1))*100+$BW$30,-999999)</f>
        <v>-999999</v>
      </c>
      <c r="CK24" s="20">
        <f>IF(AND($B24&lt;&gt;"",$F24="Yes"),COUNTIFS($B$18:$B24,"&lt;&gt;",$F$18:$F24,"Yes"),"")</f>
        <v>7</v>
      </c>
    </row>
    <row r="25" spans="1:89" ht="15" customHeight="1">
      <c r="A25" s="18">
        <v>8</v>
      </c>
      <c r="B25" s="18" t="str">
        <f>IF($A25&gt;Setup!$B$5,"",IFERROR(INDEX(Setup!$B$18:$B$31,MATCH($A25,Setup!$J$18:$J$31,0)),""))</f>
        <v/>
      </c>
      <c r="C25" s="18" t="str">
        <f>IF($B25="","",IFERROR(INDEX(Setup!$D$18:$D$31,MATCH($B25,Setup!$B$18:$B$31,0)),""))</f>
        <v/>
      </c>
      <c r="D25" s="18" t="str">
        <f>IF($B25="","",IFERROR(INDEX(Setup!$E$18:$E$31,MATCH($B25,Setup!$B$18:$B$31,0)),""))</f>
        <v/>
      </c>
      <c r="E25" s="18" t="str">
        <f>IF($B25="","",IFERROR(INDEX(Setup!$F$18:$F$31,MATCH($B25,Setup!$B$18:$B$31,0)),""))</f>
        <v/>
      </c>
      <c r="F25" s="18" t="str">
        <f>IF($B25="","",IFERROR(INDEX(Setup!$G$18:$G$31,MATCH($B25,Setup!$B$18:$B$31,0)),""))</f>
        <v/>
      </c>
      <c r="G25" s="18" t="s">
        <v>39</v>
      </c>
      <c r="H25" s="18" t="s">
        <v>39</v>
      </c>
      <c r="J25" s="18">
        <v>8</v>
      </c>
      <c r="K25" s="18" t="str">
        <f t="shared" si="0"/>
        <v/>
      </c>
      <c r="L25" s="18" t="str">
        <f t="shared" si="1"/>
        <v/>
      </c>
      <c r="M25" s="18" t="str">
        <f>IF($K25="","",IF(OR($B$3="Stage 2",$B$3="Stage 3"),"Build to 5 positions each half",IF(COUNTIFS('Season Log'!$C$4:$C$203,$K25,'Season Log'!$D$4:$D$203,$J25)=0,"New position","Used before")))</f>
        <v/>
      </c>
      <c r="O25" s="18">
        <v>8</v>
      </c>
      <c r="P25" s="18" t="str">
        <f t="shared" si="2"/>
        <v/>
      </c>
      <c r="Q25" s="18" t="str">
        <f t="shared" si="3"/>
        <v/>
      </c>
      <c r="BW25" s="20" t="str">
        <f t="shared" si="4"/>
        <v/>
      </c>
      <c r="BX25" s="20">
        <f>IF(AND($B$18&lt;&gt;"",$J25&lt;=$B$11,$J25&gt;=IF($C$18="",1,$C$18),$J25&lt;=IF($D$18="",$B$11,$D$18),COUNTIF($K$18:$K24,$B$18)=0),(100-IF($D$18="",$B$11,$D$18))*1000+(100-(IF($D$18="",$B$11,$D$18)-IF($C$18="",1,$C$18)+1))*100+$BW$18,-999999)</f>
        <v>-999999</v>
      </c>
      <c r="BY25" s="20">
        <f>IF(AND($B$19&lt;&gt;"",$J25&lt;=$B$11,$J25&gt;=IF($C$19="",1,$C$19),$J25&lt;=IF($D$19="",$B$11,$D$19),COUNTIF($K$18:$K24,$B$19)=0),(100-IF($D$19="",$B$11,$D$19))*1000+(100-(IF($D$19="",$B$11,$D$19)-IF($C$19="",1,$C$19)+1))*100+$BW$19,-999999)</f>
        <v>-999999</v>
      </c>
      <c r="BZ25" s="20">
        <f>IF(AND($B$20&lt;&gt;"",$J25&lt;=$B$11,$J25&gt;=IF($C$20="",1,$C$20),$J25&lt;=IF($D$20="",$B$11,$D$20),COUNTIF($K$18:$K24,$B$20)=0),(100-IF($D$20="",$B$11,$D$20))*1000+(100-(IF($D$20="",$B$11,$D$20)-IF($C$20="",1,$C$20)+1))*100+$BW$20,-999999)</f>
        <v>-999999</v>
      </c>
      <c r="CA25" s="20">
        <f>IF(AND($B$21&lt;&gt;"",$J25&lt;=$B$11,$J25&gt;=IF($C$21="",1,$C$21),$J25&lt;=IF($D$21="",$B$11,$D$21),COUNTIF($K$18:$K24,$B$21)=0),(100-IF($D$21="",$B$11,$D$21))*1000+(100-(IF($D$21="",$B$11,$D$21)-IF($C$21="",1,$C$21)+1))*100+$BW$21,-999999)</f>
        <v>-999999</v>
      </c>
      <c r="CB25" s="20">
        <f>IF(AND($B$22&lt;&gt;"",$J25&lt;=$B$11,$J25&gt;=IF($C$22="",1,$C$22),$J25&lt;=IF($D$22="",$B$11,$D$22),COUNTIF($K$18:$K24,$B$22)=0),(100-IF($D$22="",$B$11,$D$22))*1000+(100-(IF($D$22="",$B$11,$D$22)-IF($C$22="",1,$C$22)+1))*100+$BW$22,-999999)</f>
        <v>-999999</v>
      </c>
      <c r="CC25" s="20">
        <f>IF(AND($B$23&lt;&gt;"",$J25&lt;=$B$11,$J25&gt;=IF($C$23="",1,$C$23),$J25&lt;=IF($D$23="",$B$11,$D$23),COUNTIF($K$18:$K24,$B$23)=0),(100-IF($D$23="",$B$11,$D$23))*1000+(100-(IF($D$23="",$B$11,$D$23)-IF($C$23="",1,$C$23)+1))*100+$BW$23,-999999)</f>
        <v>-999999</v>
      </c>
      <c r="CD25" s="20">
        <f>IF(AND($B$24&lt;&gt;"",$J25&lt;=$B$11,$J25&gt;=IF($C$24="",1,$C$24),$J25&lt;=IF($D$24="",$B$11,$D$24),COUNTIF($K$18:$K24,$B$24)=0),(100-IF($D$24="",$B$11,$D$24))*1000+(100-(IF($D$24="",$B$11,$D$24)-IF($C$24="",1,$C$24)+1))*100+$BW$24,-999999)</f>
        <v>-999999</v>
      </c>
      <c r="CE25" s="20">
        <f>IF(AND($B$25&lt;&gt;"",$J25&lt;=$B$11,$J25&gt;=IF($C$25="",1,$C$25),$J25&lt;=IF($D$25="",$B$11,$D$25),COUNTIF($K$18:$K24,$B$25)=0),(100-IF($D$25="",$B$11,$D$25))*1000+(100-(IF($D$25="",$B$11,$D$25)-IF($C$25="",1,$C$25)+1))*100+$BW$25,-999999)</f>
        <v>-999999</v>
      </c>
      <c r="CF25" s="20">
        <f>IF(AND($B$26&lt;&gt;"",$J25&lt;=$B$11,$J25&gt;=IF($C$26="",1,$C$26),$J25&lt;=IF($D$26="",$B$11,$D$26),COUNTIF($K$18:$K24,$B$26)=0),(100-IF($D$26="",$B$11,$D$26))*1000+(100-(IF($D$26="",$B$11,$D$26)-IF($C$26="",1,$C$26)+1))*100+$BW$26,-999999)</f>
        <v>-999999</v>
      </c>
      <c r="CG25" s="20">
        <f>IF(AND($B$27&lt;&gt;"",$J25&lt;=$B$11,$J25&gt;=IF($C$27="",1,$C$27),$J25&lt;=IF($D$27="",$B$11,$D$27),COUNTIF($K$18:$K24,$B$27)=0),(100-IF($D$27="",$B$11,$D$27))*1000+(100-(IF($D$27="",$B$11,$D$27)-IF($C$27="",1,$C$27)+1))*100+$BW$27,-999999)</f>
        <v>-999999</v>
      </c>
      <c r="CH25" s="20">
        <f>IF(AND($B$28&lt;&gt;"",$J25&lt;=$B$11,$J25&gt;=IF($C$28="",1,$C$28),$J25&lt;=IF($D$28="",$B$11,$D$28),COUNTIF($K$18:$K24,$B$28)=0),(100-IF($D$28="",$B$11,$D$28))*1000+(100-(IF($D$28="",$B$11,$D$28)-IF($C$28="",1,$C$28)+1))*100+$BW$28,-999999)</f>
        <v>-999999</v>
      </c>
      <c r="CI25" s="20">
        <f>IF(AND($B$29&lt;&gt;"",$J25&lt;=$B$11,$J25&gt;=IF($C$29="",1,$C$29),$J25&lt;=IF($D$29="",$B$11,$D$29),COUNTIF($K$18:$K24,$B$29)=0),(100-IF($D$29="",$B$11,$D$29))*1000+(100-(IF($D$29="",$B$11,$D$29)-IF($C$29="",1,$C$29)+1))*100+$BW$29,-999999)</f>
        <v>-999999</v>
      </c>
      <c r="CJ25" s="20">
        <f>IF(AND($B$30&lt;&gt;"",$J25&lt;=$B$11,$J25&gt;=IF($C$30="",1,$C$30),$J25&lt;=IF($D$30="",$B$11,$D$30),COUNTIF($K$18:$K24,$B$30)=0),(100-IF($D$30="",$B$11,$D$30))*1000+(100-(IF($D$30="",$B$11,$D$30)-IF($C$30="",1,$C$30)+1))*100+$BW$30,-999999)</f>
        <v>-999999</v>
      </c>
      <c r="CK25" s="20" t="str">
        <f>IF(AND($B25&lt;&gt;"",$F25="Yes"),COUNTIFS($B$18:$B25,"&lt;&gt;",$F$18:$F25,"Yes"),"")</f>
        <v/>
      </c>
    </row>
    <row r="26" spans="1:89" ht="15" customHeight="1">
      <c r="A26" s="18">
        <v>9</v>
      </c>
      <c r="B26" s="18" t="str">
        <f>IF($A26&gt;Setup!$B$5,"",IFERROR(INDEX(Setup!$B$18:$B$31,MATCH($A26,Setup!$J$18:$J$31,0)),""))</f>
        <v/>
      </c>
      <c r="C26" s="18" t="str">
        <f>IF($B26="","",IFERROR(INDEX(Setup!$D$18:$D$31,MATCH($B26,Setup!$B$18:$B$31,0)),""))</f>
        <v/>
      </c>
      <c r="D26" s="18" t="str">
        <f>IF($B26="","",IFERROR(INDEX(Setup!$E$18:$E$31,MATCH($B26,Setup!$B$18:$B$31,0)),""))</f>
        <v/>
      </c>
      <c r="E26" s="18" t="str">
        <f>IF($B26="","",IFERROR(INDEX(Setup!$F$18:$F$31,MATCH($B26,Setup!$B$18:$B$31,0)),""))</f>
        <v/>
      </c>
      <c r="F26" s="18" t="str">
        <f>IF($B26="","",IFERROR(INDEX(Setup!$G$18:$G$31,MATCH($B26,Setup!$B$18:$B$31,0)),""))</f>
        <v/>
      </c>
      <c r="G26" s="18" t="s">
        <v>39</v>
      </c>
      <c r="H26" s="18" t="s">
        <v>39</v>
      </c>
      <c r="J26" s="18">
        <v>9</v>
      </c>
      <c r="K26" s="18" t="str">
        <f t="shared" si="0"/>
        <v/>
      </c>
      <c r="L26" s="18" t="str">
        <f t="shared" si="1"/>
        <v/>
      </c>
      <c r="M26" s="18" t="str">
        <f>IF($K26="","",IF(OR($B$3="Stage 2",$B$3="Stage 3"),"Build to 5 positions each half",IF(COUNTIFS('Season Log'!$C$4:$C$203,$K26,'Season Log'!$D$4:$D$203,$J26)=0,"New position","Used before")))</f>
        <v/>
      </c>
      <c r="O26" s="18">
        <v>9</v>
      </c>
      <c r="P26" s="18" t="str">
        <f t="shared" si="2"/>
        <v/>
      </c>
      <c r="Q26" s="18" t="str">
        <f t="shared" si="3"/>
        <v/>
      </c>
      <c r="BW26" s="20" t="str">
        <f t="shared" si="4"/>
        <v/>
      </c>
      <c r="BX26" s="20">
        <f>IF(AND($B$18&lt;&gt;"",$J26&lt;=$B$11,$J26&gt;=IF($C$18="",1,$C$18),$J26&lt;=IF($D$18="",$B$11,$D$18),COUNTIF($K$18:$K25,$B$18)=0),(100-IF($D$18="",$B$11,$D$18))*1000+(100-(IF($D$18="",$B$11,$D$18)-IF($C$18="",1,$C$18)+1))*100+$BW$18,-999999)</f>
        <v>-999999</v>
      </c>
      <c r="BY26" s="20">
        <f>IF(AND($B$19&lt;&gt;"",$J26&lt;=$B$11,$J26&gt;=IF($C$19="",1,$C$19),$J26&lt;=IF($D$19="",$B$11,$D$19),COUNTIF($K$18:$K25,$B$19)=0),(100-IF($D$19="",$B$11,$D$19))*1000+(100-(IF($D$19="",$B$11,$D$19)-IF($C$19="",1,$C$19)+1))*100+$BW$19,-999999)</f>
        <v>-999999</v>
      </c>
      <c r="BZ26" s="20">
        <f>IF(AND($B$20&lt;&gt;"",$J26&lt;=$B$11,$J26&gt;=IF($C$20="",1,$C$20),$J26&lt;=IF($D$20="",$B$11,$D$20),COUNTIF($K$18:$K25,$B$20)=0),(100-IF($D$20="",$B$11,$D$20))*1000+(100-(IF($D$20="",$B$11,$D$20)-IF($C$20="",1,$C$20)+1))*100+$BW$20,-999999)</f>
        <v>-999999</v>
      </c>
      <c r="CA26" s="20">
        <f>IF(AND($B$21&lt;&gt;"",$J26&lt;=$B$11,$J26&gt;=IF($C$21="",1,$C$21),$J26&lt;=IF($D$21="",$B$11,$D$21),COUNTIF($K$18:$K25,$B$21)=0),(100-IF($D$21="",$B$11,$D$21))*1000+(100-(IF($D$21="",$B$11,$D$21)-IF($C$21="",1,$C$21)+1))*100+$BW$21,-999999)</f>
        <v>-999999</v>
      </c>
      <c r="CB26" s="20">
        <f>IF(AND($B$22&lt;&gt;"",$J26&lt;=$B$11,$J26&gt;=IF($C$22="",1,$C$22),$J26&lt;=IF($D$22="",$B$11,$D$22),COUNTIF($K$18:$K25,$B$22)=0),(100-IF($D$22="",$B$11,$D$22))*1000+(100-(IF($D$22="",$B$11,$D$22)-IF($C$22="",1,$C$22)+1))*100+$BW$22,-999999)</f>
        <v>-999999</v>
      </c>
      <c r="CC26" s="20">
        <f>IF(AND($B$23&lt;&gt;"",$J26&lt;=$B$11,$J26&gt;=IF($C$23="",1,$C$23),$J26&lt;=IF($D$23="",$B$11,$D$23),COUNTIF($K$18:$K25,$B$23)=0),(100-IF($D$23="",$B$11,$D$23))*1000+(100-(IF($D$23="",$B$11,$D$23)-IF($C$23="",1,$C$23)+1))*100+$BW$23,-999999)</f>
        <v>-999999</v>
      </c>
      <c r="CD26" s="20">
        <f>IF(AND($B$24&lt;&gt;"",$J26&lt;=$B$11,$J26&gt;=IF($C$24="",1,$C$24),$J26&lt;=IF($D$24="",$B$11,$D$24),COUNTIF($K$18:$K25,$B$24)=0),(100-IF($D$24="",$B$11,$D$24))*1000+(100-(IF($D$24="",$B$11,$D$24)-IF($C$24="",1,$C$24)+1))*100+$BW$24,-999999)</f>
        <v>-999999</v>
      </c>
      <c r="CE26" s="20">
        <f>IF(AND($B$25&lt;&gt;"",$J26&lt;=$B$11,$J26&gt;=IF($C$25="",1,$C$25),$J26&lt;=IF($D$25="",$B$11,$D$25),COUNTIF($K$18:$K25,$B$25)=0),(100-IF($D$25="",$B$11,$D$25))*1000+(100-(IF($D$25="",$B$11,$D$25)-IF($C$25="",1,$C$25)+1))*100+$BW$25,-999999)</f>
        <v>-999999</v>
      </c>
      <c r="CF26" s="20">
        <f>IF(AND($B$26&lt;&gt;"",$J26&lt;=$B$11,$J26&gt;=IF($C$26="",1,$C$26),$J26&lt;=IF($D$26="",$B$11,$D$26),COUNTIF($K$18:$K25,$B$26)=0),(100-IF($D$26="",$B$11,$D$26))*1000+(100-(IF($D$26="",$B$11,$D$26)-IF($C$26="",1,$C$26)+1))*100+$BW$26,-999999)</f>
        <v>-999999</v>
      </c>
      <c r="CG26" s="20">
        <f>IF(AND($B$27&lt;&gt;"",$J26&lt;=$B$11,$J26&gt;=IF($C$27="",1,$C$27),$J26&lt;=IF($D$27="",$B$11,$D$27),COUNTIF($K$18:$K25,$B$27)=0),(100-IF($D$27="",$B$11,$D$27))*1000+(100-(IF($D$27="",$B$11,$D$27)-IF($C$27="",1,$C$27)+1))*100+$BW$27,-999999)</f>
        <v>-999999</v>
      </c>
      <c r="CH26" s="20">
        <f>IF(AND($B$28&lt;&gt;"",$J26&lt;=$B$11,$J26&gt;=IF($C$28="",1,$C$28),$J26&lt;=IF($D$28="",$B$11,$D$28),COUNTIF($K$18:$K25,$B$28)=0),(100-IF($D$28="",$B$11,$D$28))*1000+(100-(IF($D$28="",$B$11,$D$28)-IF($C$28="",1,$C$28)+1))*100+$BW$28,-999999)</f>
        <v>-999999</v>
      </c>
      <c r="CI26" s="20">
        <f>IF(AND($B$29&lt;&gt;"",$J26&lt;=$B$11,$J26&gt;=IF($C$29="",1,$C$29),$J26&lt;=IF($D$29="",$B$11,$D$29),COUNTIF($K$18:$K25,$B$29)=0),(100-IF($D$29="",$B$11,$D$29))*1000+(100-(IF($D$29="",$B$11,$D$29)-IF($C$29="",1,$C$29)+1))*100+$BW$29,-999999)</f>
        <v>-999999</v>
      </c>
      <c r="CJ26" s="20">
        <f>IF(AND($B$30&lt;&gt;"",$J26&lt;=$B$11,$J26&gt;=IF($C$30="",1,$C$30),$J26&lt;=IF($D$30="",$B$11,$D$30),COUNTIF($K$18:$K25,$B$30)=0),(100-IF($D$30="",$B$11,$D$30))*1000+(100-(IF($D$30="",$B$11,$D$30)-IF($C$30="",1,$C$30)+1))*100+$BW$30,-999999)</f>
        <v>-999999</v>
      </c>
      <c r="CK26" s="20" t="str">
        <f>IF(AND($B26&lt;&gt;"",$F26="Yes"),COUNTIFS($B$18:$B26,"&lt;&gt;",$F$18:$F26,"Yes"),"")</f>
        <v/>
      </c>
    </row>
    <row r="27" spans="1:89" ht="15" customHeight="1">
      <c r="A27" s="18">
        <v>10</v>
      </c>
      <c r="B27" s="18" t="str">
        <f>IF($A27&gt;Setup!$B$5,"",IFERROR(INDEX(Setup!$B$18:$B$31,MATCH($A27,Setup!$J$18:$J$31,0)),""))</f>
        <v/>
      </c>
      <c r="C27" s="18" t="str">
        <f>IF($B27="","",IFERROR(INDEX(Setup!$D$18:$D$31,MATCH($B27,Setup!$B$18:$B$31,0)),""))</f>
        <v/>
      </c>
      <c r="D27" s="18" t="str">
        <f>IF($B27="","",IFERROR(INDEX(Setup!$E$18:$E$31,MATCH($B27,Setup!$B$18:$B$31,0)),""))</f>
        <v/>
      </c>
      <c r="E27" s="18" t="str">
        <f>IF($B27="","",IFERROR(INDEX(Setup!$F$18:$F$31,MATCH($B27,Setup!$B$18:$B$31,0)),""))</f>
        <v/>
      </c>
      <c r="F27" s="18" t="str">
        <f>IF($B27="","",IFERROR(INDEX(Setup!$G$18:$G$31,MATCH($B27,Setup!$B$18:$B$31,0)),""))</f>
        <v/>
      </c>
      <c r="G27" s="18" t="s">
        <v>39</v>
      </c>
      <c r="H27" s="18" t="s">
        <v>39</v>
      </c>
      <c r="J27" s="18">
        <v>10</v>
      </c>
      <c r="K27" s="18" t="str">
        <f t="shared" si="0"/>
        <v/>
      </c>
      <c r="L27" s="18" t="str">
        <f t="shared" si="1"/>
        <v/>
      </c>
      <c r="M27" s="18" t="str">
        <f>IF($K27="","",IF(OR($B$3="Stage 2",$B$3="Stage 3"),"Build to 5 positions each half",IF(COUNTIFS('Season Log'!$C$4:$C$203,$K27,'Season Log'!$D$4:$D$203,$J27)=0,"New position","Used before")))</f>
        <v/>
      </c>
      <c r="O27" s="18">
        <v>10</v>
      </c>
      <c r="P27" s="18" t="str">
        <f t="shared" si="2"/>
        <v/>
      </c>
      <c r="Q27" s="18" t="str">
        <f t="shared" si="3"/>
        <v/>
      </c>
      <c r="BW27" s="20" t="str">
        <f t="shared" si="4"/>
        <v/>
      </c>
      <c r="BX27" s="20">
        <f>IF(AND($B$18&lt;&gt;"",$J27&lt;=$B$11,$J27&gt;=IF($C$18="",1,$C$18),$J27&lt;=IF($D$18="",$B$11,$D$18),COUNTIF($K$18:$K26,$B$18)=0),(100-IF($D$18="",$B$11,$D$18))*1000+(100-(IF($D$18="",$B$11,$D$18)-IF($C$18="",1,$C$18)+1))*100+$BW$18,-999999)</f>
        <v>-999999</v>
      </c>
      <c r="BY27" s="20">
        <f>IF(AND($B$19&lt;&gt;"",$J27&lt;=$B$11,$J27&gt;=IF($C$19="",1,$C$19),$J27&lt;=IF($D$19="",$B$11,$D$19),COUNTIF($K$18:$K26,$B$19)=0),(100-IF($D$19="",$B$11,$D$19))*1000+(100-(IF($D$19="",$B$11,$D$19)-IF($C$19="",1,$C$19)+1))*100+$BW$19,-999999)</f>
        <v>-999999</v>
      </c>
      <c r="BZ27" s="20">
        <f>IF(AND($B$20&lt;&gt;"",$J27&lt;=$B$11,$J27&gt;=IF($C$20="",1,$C$20),$J27&lt;=IF($D$20="",$B$11,$D$20),COUNTIF($K$18:$K26,$B$20)=0),(100-IF($D$20="",$B$11,$D$20))*1000+(100-(IF($D$20="",$B$11,$D$20)-IF($C$20="",1,$C$20)+1))*100+$BW$20,-999999)</f>
        <v>-999999</v>
      </c>
      <c r="CA27" s="20">
        <f>IF(AND($B$21&lt;&gt;"",$J27&lt;=$B$11,$J27&gt;=IF($C$21="",1,$C$21),$J27&lt;=IF($D$21="",$B$11,$D$21),COUNTIF($K$18:$K26,$B$21)=0),(100-IF($D$21="",$B$11,$D$21))*1000+(100-(IF($D$21="",$B$11,$D$21)-IF($C$21="",1,$C$21)+1))*100+$BW$21,-999999)</f>
        <v>-999999</v>
      </c>
      <c r="CB27" s="20">
        <f>IF(AND($B$22&lt;&gt;"",$J27&lt;=$B$11,$J27&gt;=IF($C$22="",1,$C$22),$J27&lt;=IF($D$22="",$B$11,$D$22),COUNTIF($K$18:$K26,$B$22)=0),(100-IF($D$22="",$B$11,$D$22))*1000+(100-(IF($D$22="",$B$11,$D$22)-IF($C$22="",1,$C$22)+1))*100+$BW$22,-999999)</f>
        <v>-999999</v>
      </c>
      <c r="CC27" s="20">
        <f>IF(AND($B$23&lt;&gt;"",$J27&lt;=$B$11,$J27&gt;=IF($C$23="",1,$C$23),$J27&lt;=IF($D$23="",$B$11,$D$23),COUNTIF($K$18:$K26,$B$23)=0),(100-IF($D$23="",$B$11,$D$23))*1000+(100-(IF($D$23="",$B$11,$D$23)-IF($C$23="",1,$C$23)+1))*100+$BW$23,-999999)</f>
        <v>-999999</v>
      </c>
      <c r="CD27" s="20">
        <f>IF(AND($B$24&lt;&gt;"",$J27&lt;=$B$11,$J27&gt;=IF($C$24="",1,$C$24),$J27&lt;=IF($D$24="",$B$11,$D$24),COUNTIF($K$18:$K26,$B$24)=0),(100-IF($D$24="",$B$11,$D$24))*1000+(100-(IF($D$24="",$B$11,$D$24)-IF($C$24="",1,$C$24)+1))*100+$BW$24,-999999)</f>
        <v>-999999</v>
      </c>
      <c r="CE27" s="20">
        <f>IF(AND($B$25&lt;&gt;"",$J27&lt;=$B$11,$J27&gt;=IF($C$25="",1,$C$25),$J27&lt;=IF($D$25="",$B$11,$D$25),COUNTIF($K$18:$K26,$B$25)=0),(100-IF($D$25="",$B$11,$D$25))*1000+(100-(IF($D$25="",$B$11,$D$25)-IF($C$25="",1,$C$25)+1))*100+$BW$25,-999999)</f>
        <v>-999999</v>
      </c>
      <c r="CF27" s="20">
        <f>IF(AND($B$26&lt;&gt;"",$J27&lt;=$B$11,$J27&gt;=IF($C$26="",1,$C$26),$J27&lt;=IF($D$26="",$B$11,$D$26),COUNTIF($K$18:$K26,$B$26)=0),(100-IF($D$26="",$B$11,$D$26))*1000+(100-(IF($D$26="",$B$11,$D$26)-IF($C$26="",1,$C$26)+1))*100+$BW$26,-999999)</f>
        <v>-999999</v>
      </c>
      <c r="CG27" s="20">
        <f>IF(AND($B$27&lt;&gt;"",$J27&lt;=$B$11,$J27&gt;=IF($C$27="",1,$C$27),$J27&lt;=IF($D$27="",$B$11,$D$27),COUNTIF($K$18:$K26,$B$27)=0),(100-IF($D$27="",$B$11,$D$27))*1000+(100-(IF($D$27="",$B$11,$D$27)-IF($C$27="",1,$C$27)+1))*100+$BW$27,-999999)</f>
        <v>-999999</v>
      </c>
      <c r="CH27" s="20">
        <f>IF(AND($B$28&lt;&gt;"",$J27&lt;=$B$11,$J27&gt;=IF($C$28="",1,$C$28),$J27&lt;=IF($D$28="",$B$11,$D$28),COUNTIF($K$18:$K26,$B$28)=0),(100-IF($D$28="",$B$11,$D$28))*1000+(100-(IF($D$28="",$B$11,$D$28)-IF($C$28="",1,$C$28)+1))*100+$BW$28,-999999)</f>
        <v>-999999</v>
      </c>
      <c r="CI27" s="20">
        <f>IF(AND($B$29&lt;&gt;"",$J27&lt;=$B$11,$J27&gt;=IF($C$29="",1,$C$29),$J27&lt;=IF($D$29="",$B$11,$D$29),COUNTIF($K$18:$K26,$B$29)=0),(100-IF($D$29="",$B$11,$D$29))*1000+(100-(IF($D$29="",$B$11,$D$29)-IF($C$29="",1,$C$29)+1))*100+$BW$29,-999999)</f>
        <v>-999999</v>
      </c>
      <c r="CJ27" s="20">
        <f>IF(AND($B$30&lt;&gt;"",$J27&lt;=$B$11,$J27&gt;=IF($C$30="",1,$C$30),$J27&lt;=IF($D$30="",$B$11,$D$30),COUNTIF($K$18:$K26,$B$30)=0),(100-IF($D$30="",$B$11,$D$30))*1000+(100-(IF($D$30="",$B$11,$D$30)-IF($C$30="",1,$C$30)+1))*100+$BW$30,-999999)</f>
        <v>-999999</v>
      </c>
      <c r="CK27" s="20" t="str">
        <f>IF(AND($B27&lt;&gt;"",$F27="Yes"),COUNTIFS($B$18:$B27,"&lt;&gt;",$F$18:$F27,"Yes"),"")</f>
        <v/>
      </c>
    </row>
    <row r="28" spans="1:89" ht="15" customHeight="1">
      <c r="A28" s="18">
        <v>11</v>
      </c>
      <c r="B28" s="18" t="str">
        <f>IF($A28&gt;Setup!$B$5,"",IFERROR(INDEX(Setup!$B$18:$B$31,MATCH($A28,Setup!$J$18:$J$31,0)),""))</f>
        <v/>
      </c>
      <c r="C28" s="18" t="str">
        <f>IF($B28="","",IFERROR(INDEX(Setup!$D$18:$D$31,MATCH($B28,Setup!$B$18:$B$31,0)),""))</f>
        <v/>
      </c>
      <c r="D28" s="18" t="str">
        <f>IF($B28="","",IFERROR(INDEX(Setup!$E$18:$E$31,MATCH($B28,Setup!$B$18:$B$31,0)),""))</f>
        <v/>
      </c>
      <c r="E28" s="18" t="str">
        <f>IF($B28="","",IFERROR(INDEX(Setup!$F$18:$F$31,MATCH($B28,Setup!$B$18:$B$31,0)),""))</f>
        <v/>
      </c>
      <c r="F28" s="18" t="str">
        <f>IF($B28="","",IFERROR(INDEX(Setup!$G$18:$G$31,MATCH($B28,Setup!$B$18:$B$31,0)),""))</f>
        <v/>
      </c>
      <c r="G28" s="18" t="s">
        <v>39</v>
      </c>
      <c r="H28" s="18" t="s">
        <v>39</v>
      </c>
      <c r="J28" s="18">
        <v>11</v>
      </c>
      <c r="K28" s="18" t="str">
        <f t="shared" si="0"/>
        <v/>
      </c>
      <c r="L28" s="18" t="str">
        <f t="shared" si="1"/>
        <v/>
      </c>
      <c r="M28" s="18" t="str">
        <f>IF($K28="","",IF(OR($B$3="Stage 2",$B$3="Stage 3"),"Build to 5 positions each half",IF(COUNTIFS('Season Log'!$C$4:$C$203,$K28,'Season Log'!$D$4:$D$203,$J28)=0,"New position","Used before")))</f>
        <v/>
      </c>
      <c r="O28" s="18">
        <v>11</v>
      </c>
      <c r="P28" s="18" t="str">
        <f t="shared" si="2"/>
        <v/>
      </c>
      <c r="Q28" s="18" t="str">
        <f t="shared" si="3"/>
        <v/>
      </c>
      <c r="BW28" s="20" t="str">
        <f t="shared" si="4"/>
        <v/>
      </c>
      <c r="BX28" s="20">
        <f>IF(AND($B$18&lt;&gt;"",$J28&lt;=$B$11,$J28&gt;=IF($C$18="",1,$C$18),$J28&lt;=IF($D$18="",$B$11,$D$18),COUNTIF($K$18:$K27,$B$18)=0),(100-IF($D$18="",$B$11,$D$18))*1000+(100-(IF($D$18="",$B$11,$D$18)-IF($C$18="",1,$C$18)+1))*100+$BW$18,-999999)</f>
        <v>-999999</v>
      </c>
      <c r="BY28" s="20">
        <f>IF(AND($B$19&lt;&gt;"",$J28&lt;=$B$11,$J28&gt;=IF($C$19="",1,$C$19),$J28&lt;=IF($D$19="",$B$11,$D$19),COUNTIF($K$18:$K27,$B$19)=0),(100-IF($D$19="",$B$11,$D$19))*1000+(100-(IF($D$19="",$B$11,$D$19)-IF($C$19="",1,$C$19)+1))*100+$BW$19,-999999)</f>
        <v>-999999</v>
      </c>
      <c r="BZ28" s="20">
        <f>IF(AND($B$20&lt;&gt;"",$J28&lt;=$B$11,$J28&gt;=IF($C$20="",1,$C$20),$J28&lt;=IF($D$20="",$B$11,$D$20),COUNTIF($K$18:$K27,$B$20)=0),(100-IF($D$20="",$B$11,$D$20))*1000+(100-(IF($D$20="",$B$11,$D$20)-IF($C$20="",1,$C$20)+1))*100+$BW$20,-999999)</f>
        <v>-999999</v>
      </c>
      <c r="CA28" s="20">
        <f>IF(AND($B$21&lt;&gt;"",$J28&lt;=$B$11,$J28&gt;=IF($C$21="",1,$C$21),$J28&lt;=IF($D$21="",$B$11,$D$21),COUNTIF($K$18:$K27,$B$21)=0),(100-IF($D$21="",$B$11,$D$21))*1000+(100-(IF($D$21="",$B$11,$D$21)-IF($C$21="",1,$C$21)+1))*100+$BW$21,-999999)</f>
        <v>-999999</v>
      </c>
      <c r="CB28" s="20">
        <f>IF(AND($B$22&lt;&gt;"",$J28&lt;=$B$11,$J28&gt;=IF($C$22="",1,$C$22),$J28&lt;=IF($D$22="",$B$11,$D$22),COUNTIF($K$18:$K27,$B$22)=0),(100-IF($D$22="",$B$11,$D$22))*1000+(100-(IF($D$22="",$B$11,$D$22)-IF($C$22="",1,$C$22)+1))*100+$BW$22,-999999)</f>
        <v>-999999</v>
      </c>
      <c r="CC28" s="20">
        <f>IF(AND($B$23&lt;&gt;"",$J28&lt;=$B$11,$J28&gt;=IF($C$23="",1,$C$23),$J28&lt;=IF($D$23="",$B$11,$D$23),COUNTIF($K$18:$K27,$B$23)=0),(100-IF($D$23="",$B$11,$D$23))*1000+(100-(IF($D$23="",$B$11,$D$23)-IF($C$23="",1,$C$23)+1))*100+$BW$23,-999999)</f>
        <v>-999999</v>
      </c>
      <c r="CD28" s="20">
        <f>IF(AND($B$24&lt;&gt;"",$J28&lt;=$B$11,$J28&gt;=IF($C$24="",1,$C$24),$J28&lt;=IF($D$24="",$B$11,$D$24),COUNTIF($K$18:$K27,$B$24)=0),(100-IF($D$24="",$B$11,$D$24))*1000+(100-(IF($D$24="",$B$11,$D$24)-IF($C$24="",1,$C$24)+1))*100+$BW$24,-999999)</f>
        <v>-999999</v>
      </c>
      <c r="CE28" s="20">
        <f>IF(AND($B$25&lt;&gt;"",$J28&lt;=$B$11,$J28&gt;=IF($C$25="",1,$C$25),$J28&lt;=IF($D$25="",$B$11,$D$25),COUNTIF($K$18:$K27,$B$25)=0),(100-IF($D$25="",$B$11,$D$25))*1000+(100-(IF($D$25="",$B$11,$D$25)-IF($C$25="",1,$C$25)+1))*100+$BW$25,-999999)</f>
        <v>-999999</v>
      </c>
      <c r="CF28" s="20">
        <f>IF(AND($B$26&lt;&gt;"",$J28&lt;=$B$11,$J28&gt;=IF($C$26="",1,$C$26),$J28&lt;=IF($D$26="",$B$11,$D$26),COUNTIF($K$18:$K27,$B$26)=0),(100-IF($D$26="",$B$11,$D$26))*1000+(100-(IF($D$26="",$B$11,$D$26)-IF($C$26="",1,$C$26)+1))*100+$BW$26,-999999)</f>
        <v>-999999</v>
      </c>
      <c r="CG28" s="20">
        <f>IF(AND($B$27&lt;&gt;"",$J28&lt;=$B$11,$J28&gt;=IF($C$27="",1,$C$27),$J28&lt;=IF($D$27="",$B$11,$D$27),COUNTIF($K$18:$K27,$B$27)=0),(100-IF($D$27="",$B$11,$D$27))*1000+(100-(IF($D$27="",$B$11,$D$27)-IF($C$27="",1,$C$27)+1))*100+$BW$27,-999999)</f>
        <v>-999999</v>
      </c>
      <c r="CH28" s="20">
        <f>IF(AND($B$28&lt;&gt;"",$J28&lt;=$B$11,$J28&gt;=IF($C$28="",1,$C$28),$J28&lt;=IF($D$28="",$B$11,$D$28),COUNTIF($K$18:$K27,$B$28)=0),(100-IF($D$28="",$B$11,$D$28))*1000+(100-(IF($D$28="",$B$11,$D$28)-IF($C$28="",1,$C$28)+1))*100+$BW$28,-999999)</f>
        <v>-999999</v>
      </c>
      <c r="CI28" s="20">
        <f>IF(AND($B$29&lt;&gt;"",$J28&lt;=$B$11,$J28&gt;=IF($C$29="",1,$C$29),$J28&lt;=IF($D$29="",$B$11,$D$29),COUNTIF($K$18:$K27,$B$29)=0),(100-IF($D$29="",$B$11,$D$29))*1000+(100-(IF($D$29="",$B$11,$D$29)-IF($C$29="",1,$C$29)+1))*100+$BW$29,-999999)</f>
        <v>-999999</v>
      </c>
      <c r="CJ28" s="20">
        <f>IF(AND($B$30&lt;&gt;"",$J28&lt;=$B$11,$J28&gt;=IF($C$30="",1,$C$30),$J28&lt;=IF($D$30="",$B$11,$D$30),COUNTIF($K$18:$K27,$B$30)=0),(100-IF($D$30="",$B$11,$D$30))*1000+(100-(IF($D$30="",$B$11,$D$30)-IF($C$30="",1,$C$30)+1))*100+$BW$30,-999999)</f>
        <v>-999999</v>
      </c>
      <c r="CK28" s="20" t="str">
        <f>IF(AND($B28&lt;&gt;"",$F28="Yes"),COUNTIFS($B$18:$B28,"&lt;&gt;",$F$18:$F28,"Yes"),"")</f>
        <v/>
      </c>
    </row>
    <row r="29" spans="1:89" ht="15" customHeight="1">
      <c r="A29" s="18">
        <v>12</v>
      </c>
      <c r="B29" s="18" t="str">
        <f>IF($A29&gt;Setup!$B$5,"",IFERROR(INDEX(Setup!$B$18:$B$31,MATCH($A29,Setup!$J$18:$J$31,0)),""))</f>
        <v/>
      </c>
      <c r="C29" s="18" t="str">
        <f>IF($B29="","",IFERROR(INDEX(Setup!$D$18:$D$31,MATCH($B29,Setup!$B$18:$B$31,0)),""))</f>
        <v/>
      </c>
      <c r="D29" s="18" t="str">
        <f>IF($B29="","",IFERROR(INDEX(Setup!$E$18:$E$31,MATCH($B29,Setup!$B$18:$B$31,0)),""))</f>
        <v/>
      </c>
      <c r="E29" s="18" t="str">
        <f>IF($B29="","",IFERROR(INDEX(Setup!$F$18:$F$31,MATCH($B29,Setup!$B$18:$B$31,0)),""))</f>
        <v/>
      </c>
      <c r="F29" s="18" t="str">
        <f>IF($B29="","",IFERROR(INDEX(Setup!$G$18:$G$31,MATCH($B29,Setup!$B$18:$B$31,0)),""))</f>
        <v/>
      </c>
      <c r="G29" s="18" t="s">
        <v>39</v>
      </c>
      <c r="H29" s="18" t="s">
        <v>39</v>
      </c>
      <c r="J29" s="18">
        <v>12</v>
      </c>
      <c r="K29" s="18" t="str">
        <f t="shared" si="0"/>
        <v/>
      </c>
      <c r="L29" s="18" t="str">
        <f t="shared" si="1"/>
        <v/>
      </c>
      <c r="M29" s="18" t="str">
        <f>IF($K29="","",IF(OR($B$3="Stage 2",$B$3="Stage 3"),"Build to 5 positions each half",IF(COUNTIFS('Season Log'!$C$4:$C$203,$K29,'Season Log'!$D$4:$D$203,$J29)=0,"New position","Used before")))</f>
        <v/>
      </c>
      <c r="O29" s="18">
        <v>12</v>
      </c>
      <c r="P29" s="18" t="str">
        <f t="shared" si="2"/>
        <v/>
      </c>
      <c r="Q29" s="18" t="str">
        <f t="shared" si="3"/>
        <v/>
      </c>
      <c r="BW29" s="20" t="str">
        <f t="shared" si="4"/>
        <v/>
      </c>
      <c r="BX29" s="20">
        <f>IF(AND($B$18&lt;&gt;"",$J29&lt;=$B$11,$J29&gt;=IF($C$18="",1,$C$18),$J29&lt;=IF($D$18="",$B$11,$D$18),COUNTIF($K$18:$K28,$B$18)=0),(100-IF($D$18="",$B$11,$D$18))*1000+(100-(IF($D$18="",$B$11,$D$18)-IF($C$18="",1,$C$18)+1))*100+$BW$18,-999999)</f>
        <v>-999999</v>
      </c>
      <c r="BY29" s="20">
        <f>IF(AND($B$19&lt;&gt;"",$J29&lt;=$B$11,$J29&gt;=IF($C$19="",1,$C$19),$J29&lt;=IF($D$19="",$B$11,$D$19),COUNTIF($K$18:$K28,$B$19)=0),(100-IF($D$19="",$B$11,$D$19))*1000+(100-(IF($D$19="",$B$11,$D$19)-IF($C$19="",1,$C$19)+1))*100+$BW$19,-999999)</f>
        <v>-999999</v>
      </c>
      <c r="BZ29" s="20">
        <f>IF(AND($B$20&lt;&gt;"",$J29&lt;=$B$11,$J29&gt;=IF($C$20="",1,$C$20),$J29&lt;=IF($D$20="",$B$11,$D$20),COUNTIF($K$18:$K28,$B$20)=0),(100-IF($D$20="",$B$11,$D$20))*1000+(100-(IF($D$20="",$B$11,$D$20)-IF($C$20="",1,$C$20)+1))*100+$BW$20,-999999)</f>
        <v>-999999</v>
      </c>
      <c r="CA29" s="20">
        <f>IF(AND($B$21&lt;&gt;"",$J29&lt;=$B$11,$J29&gt;=IF($C$21="",1,$C$21),$J29&lt;=IF($D$21="",$B$11,$D$21),COUNTIF($K$18:$K28,$B$21)=0),(100-IF($D$21="",$B$11,$D$21))*1000+(100-(IF($D$21="",$B$11,$D$21)-IF($C$21="",1,$C$21)+1))*100+$BW$21,-999999)</f>
        <v>-999999</v>
      </c>
      <c r="CB29" s="20">
        <f>IF(AND($B$22&lt;&gt;"",$J29&lt;=$B$11,$J29&gt;=IF($C$22="",1,$C$22),$J29&lt;=IF($D$22="",$B$11,$D$22),COUNTIF($K$18:$K28,$B$22)=0),(100-IF($D$22="",$B$11,$D$22))*1000+(100-(IF($D$22="",$B$11,$D$22)-IF($C$22="",1,$C$22)+1))*100+$BW$22,-999999)</f>
        <v>-999999</v>
      </c>
      <c r="CC29" s="20">
        <f>IF(AND($B$23&lt;&gt;"",$J29&lt;=$B$11,$J29&gt;=IF($C$23="",1,$C$23),$J29&lt;=IF($D$23="",$B$11,$D$23),COUNTIF($K$18:$K28,$B$23)=0),(100-IF($D$23="",$B$11,$D$23))*1000+(100-(IF($D$23="",$B$11,$D$23)-IF($C$23="",1,$C$23)+1))*100+$BW$23,-999999)</f>
        <v>-999999</v>
      </c>
      <c r="CD29" s="20">
        <f>IF(AND($B$24&lt;&gt;"",$J29&lt;=$B$11,$J29&gt;=IF($C$24="",1,$C$24),$J29&lt;=IF($D$24="",$B$11,$D$24),COUNTIF($K$18:$K28,$B$24)=0),(100-IF($D$24="",$B$11,$D$24))*1000+(100-(IF($D$24="",$B$11,$D$24)-IF($C$24="",1,$C$24)+1))*100+$BW$24,-999999)</f>
        <v>-999999</v>
      </c>
      <c r="CE29" s="20">
        <f>IF(AND($B$25&lt;&gt;"",$J29&lt;=$B$11,$J29&gt;=IF($C$25="",1,$C$25),$J29&lt;=IF($D$25="",$B$11,$D$25),COUNTIF($K$18:$K28,$B$25)=0),(100-IF($D$25="",$B$11,$D$25))*1000+(100-(IF($D$25="",$B$11,$D$25)-IF($C$25="",1,$C$25)+1))*100+$BW$25,-999999)</f>
        <v>-999999</v>
      </c>
      <c r="CF29" s="20">
        <f>IF(AND($B$26&lt;&gt;"",$J29&lt;=$B$11,$J29&gt;=IF($C$26="",1,$C$26),$J29&lt;=IF($D$26="",$B$11,$D$26),COUNTIF($K$18:$K28,$B$26)=0),(100-IF($D$26="",$B$11,$D$26))*1000+(100-(IF($D$26="",$B$11,$D$26)-IF($C$26="",1,$C$26)+1))*100+$BW$26,-999999)</f>
        <v>-999999</v>
      </c>
      <c r="CG29" s="20">
        <f>IF(AND($B$27&lt;&gt;"",$J29&lt;=$B$11,$J29&gt;=IF($C$27="",1,$C$27),$J29&lt;=IF($D$27="",$B$11,$D$27),COUNTIF($K$18:$K28,$B$27)=0),(100-IF($D$27="",$B$11,$D$27))*1000+(100-(IF($D$27="",$B$11,$D$27)-IF($C$27="",1,$C$27)+1))*100+$BW$27,-999999)</f>
        <v>-999999</v>
      </c>
      <c r="CH29" s="20">
        <f>IF(AND($B$28&lt;&gt;"",$J29&lt;=$B$11,$J29&gt;=IF($C$28="",1,$C$28),$J29&lt;=IF($D$28="",$B$11,$D$28),COUNTIF($K$18:$K28,$B$28)=0),(100-IF($D$28="",$B$11,$D$28))*1000+(100-(IF($D$28="",$B$11,$D$28)-IF($C$28="",1,$C$28)+1))*100+$BW$28,-999999)</f>
        <v>-999999</v>
      </c>
      <c r="CI29" s="20">
        <f>IF(AND($B$29&lt;&gt;"",$J29&lt;=$B$11,$J29&gt;=IF($C$29="",1,$C$29),$J29&lt;=IF($D$29="",$B$11,$D$29),COUNTIF($K$18:$K28,$B$29)=0),(100-IF($D$29="",$B$11,$D$29))*1000+(100-(IF($D$29="",$B$11,$D$29)-IF($C$29="",1,$C$29)+1))*100+$BW$29,-999999)</f>
        <v>-999999</v>
      </c>
      <c r="CJ29" s="20">
        <f>IF(AND($B$30&lt;&gt;"",$J29&lt;=$B$11,$J29&gt;=IF($C$30="",1,$C$30),$J29&lt;=IF($D$30="",$B$11,$D$30),COUNTIF($K$18:$K28,$B$30)=0),(100-IF($D$30="",$B$11,$D$30))*1000+(100-(IF($D$30="",$B$11,$D$30)-IF($C$30="",1,$C$30)+1))*100+$BW$30,-999999)</f>
        <v>-999999</v>
      </c>
      <c r="CK29" s="20" t="str">
        <f>IF(AND($B29&lt;&gt;"",$F29="Yes"),COUNTIFS($B$18:$B29,"&lt;&gt;",$F$18:$F29,"Yes"),"")</f>
        <v/>
      </c>
    </row>
    <row r="30" spans="1:89" ht="15" customHeight="1">
      <c r="A30" s="18">
        <v>13</v>
      </c>
      <c r="B30" s="18" t="str">
        <f>IF($A30&gt;Setup!$B$5,"",IFERROR(INDEX(Setup!$B$18:$B$31,MATCH($A30,Setup!$J$18:$J$31,0)),""))</f>
        <v/>
      </c>
      <c r="C30" s="18" t="str">
        <f>IF($B30="","",IFERROR(INDEX(Setup!$D$18:$D$31,MATCH($B30,Setup!$B$18:$B$31,0)),""))</f>
        <v/>
      </c>
      <c r="D30" s="18" t="str">
        <f>IF($B30="","",IFERROR(INDEX(Setup!$E$18:$E$31,MATCH($B30,Setup!$B$18:$B$31,0)),""))</f>
        <v/>
      </c>
      <c r="E30" s="18" t="str">
        <f>IF($B30="","",IFERROR(INDEX(Setup!$F$18:$F$31,MATCH($B30,Setup!$B$18:$B$31,0)),""))</f>
        <v/>
      </c>
      <c r="F30" s="18" t="str">
        <f>IF($B30="","",IFERROR(INDEX(Setup!$G$18:$G$31,MATCH($B30,Setup!$B$18:$B$31,0)),""))</f>
        <v/>
      </c>
      <c r="G30" s="18" t="s">
        <v>39</v>
      </c>
      <c r="H30" s="18" t="s">
        <v>39</v>
      </c>
      <c r="J30" s="18">
        <v>13</v>
      </c>
      <c r="K30" s="18" t="str">
        <f t="shared" si="0"/>
        <v/>
      </c>
      <c r="L30" s="18" t="str">
        <f t="shared" si="1"/>
        <v/>
      </c>
      <c r="M30" s="18" t="str">
        <f>IF($K30="","",IF(OR($B$3="Stage 2",$B$3="Stage 3"),"Build to 5 positions each half",IF(COUNTIFS('Season Log'!$C$4:$C$203,$K30,'Season Log'!$D$4:$D$203,$J30)=0,"New position","Used before")))</f>
        <v/>
      </c>
      <c r="O30" s="18">
        <v>13</v>
      </c>
      <c r="P30" s="18" t="str">
        <f t="shared" si="2"/>
        <v/>
      </c>
      <c r="Q30" s="18" t="str">
        <f t="shared" si="3"/>
        <v/>
      </c>
      <c r="T30" s="20"/>
      <c r="U30" s="20"/>
      <c r="V30" s="20">
        <v>1</v>
      </c>
      <c r="W30" s="20">
        <v>2</v>
      </c>
      <c r="X30" s="20">
        <v>3</v>
      </c>
      <c r="Y30" s="20">
        <v>4</v>
      </c>
      <c r="Z30" s="20">
        <v>5</v>
      </c>
      <c r="AA30" s="20">
        <v>6</v>
      </c>
      <c r="AB30" s="20">
        <v>7</v>
      </c>
      <c r="AC30" s="20">
        <v>8</v>
      </c>
      <c r="AD30" s="20">
        <v>9</v>
      </c>
      <c r="AE30" s="20">
        <v>10</v>
      </c>
      <c r="AF30" s="20">
        <v>11</v>
      </c>
      <c r="AG30" s="20">
        <v>12</v>
      </c>
      <c r="AH30" s="20">
        <v>13</v>
      </c>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t="str">
        <f t="shared" si="4"/>
        <v/>
      </c>
      <c r="BX30" s="20">
        <f>IF(AND($B$18&lt;&gt;"",$J30&lt;=$B$11,$J30&gt;=IF($C$18="",1,$C$18),$J30&lt;=IF($D$18="",$B$11,$D$18),COUNTIF($K$18:$K29,$B$18)=0),(100-IF($D$18="",$B$11,$D$18))*1000+(100-(IF($D$18="",$B$11,$D$18)-IF($C$18="",1,$C$18)+1))*100+$BW$18,-999999)</f>
        <v>-999999</v>
      </c>
      <c r="BY30" s="20">
        <f>IF(AND($B$19&lt;&gt;"",$J30&lt;=$B$11,$J30&gt;=IF($C$19="",1,$C$19),$J30&lt;=IF($D$19="",$B$11,$D$19),COUNTIF($K$18:$K29,$B$19)=0),(100-IF($D$19="",$B$11,$D$19))*1000+(100-(IF($D$19="",$B$11,$D$19)-IF($C$19="",1,$C$19)+1))*100+$BW$19,-999999)</f>
        <v>-999999</v>
      </c>
      <c r="BZ30" s="20">
        <f>IF(AND($B$20&lt;&gt;"",$J30&lt;=$B$11,$J30&gt;=IF($C$20="",1,$C$20),$J30&lt;=IF($D$20="",$B$11,$D$20),COUNTIF($K$18:$K29,$B$20)=0),(100-IF($D$20="",$B$11,$D$20))*1000+(100-(IF($D$20="",$B$11,$D$20)-IF($C$20="",1,$C$20)+1))*100+$BW$20,-999999)</f>
        <v>-999999</v>
      </c>
      <c r="CA30" s="20">
        <f>IF(AND($B$21&lt;&gt;"",$J30&lt;=$B$11,$J30&gt;=IF($C$21="",1,$C$21),$J30&lt;=IF($D$21="",$B$11,$D$21),COUNTIF($K$18:$K29,$B$21)=0),(100-IF($D$21="",$B$11,$D$21))*1000+(100-(IF($D$21="",$B$11,$D$21)-IF($C$21="",1,$C$21)+1))*100+$BW$21,-999999)</f>
        <v>-999999</v>
      </c>
      <c r="CB30" s="20">
        <f>IF(AND($B$22&lt;&gt;"",$J30&lt;=$B$11,$J30&gt;=IF($C$22="",1,$C$22),$J30&lt;=IF($D$22="",$B$11,$D$22),COUNTIF($K$18:$K29,$B$22)=0),(100-IF($D$22="",$B$11,$D$22))*1000+(100-(IF($D$22="",$B$11,$D$22)-IF($C$22="",1,$C$22)+1))*100+$BW$22,-999999)</f>
        <v>-999999</v>
      </c>
      <c r="CC30" s="20">
        <f>IF(AND($B$23&lt;&gt;"",$J30&lt;=$B$11,$J30&gt;=IF($C$23="",1,$C$23),$J30&lt;=IF($D$23="",$B$11,$D$23),COUNTIF($K$18:$K29,$B$23)=0),(100-IF($D$23="",$B$11,$D$23))*1000+(100-(IF($D$23="",$B$11,$D$23)-IF($C$23="",1,$C$23)+1))*100+$BW$23,-999999)</f>
        <v>-999999</v>
      </c>
      <c r="CD30" s="20">
        <f>IF(AND($B$24&lt;&gt;"",$J30&lt;=$B$11,$J30&gt;=IF($C$24="",1,$C$24),$J30&lt;=IF($D$24="",$B$11,$D$24),COUNTIF($K$18:$K29,$B$24)=0),(100-IF($D$24="",$B$11,$D$24))*1000+(100-(IF($D$24="",$B$11,$D$24)-IF($C$24="",1,$C$24)+1))*100+$BW$24,-999999)</f>
        <v>-999999</v>
      </c>
      <c r="CE30" s="20">
        <f>IF(AND($B$25&lt;&gt;"",$J30&lt;=$B$11,$J30&gt;=IF($C$25="",1,$C$25),$J30&lt;=IF($D$25="",$B$11,$D$25),COUNTIF($K$18:$K29,$B$25)=0),(100-IF($D$25="",$B$11,$D$25))*1000+(100-(IF($D$25="",$B$11,$D$25)-IF($C$25="",1,$C$25)+1))*100+$BW$25,-999999)</f>
        <v>-999999</v>
      </c>
      <c r="CF30" s="20">
        <f>IF(AND($B$26&lt;&gt;"",$J30&lt;=$B$11,$J30&gt;=IF($C$26="",1,$C$26),$J30&lt;=IF($D$26="",$B$11,$D$26),COUNTIF($K$18:$K29,$B$26)=0),(100-IF($D$26="",$B$11,$D$26))*1000+(100-(IF($D$26="",$B$11,$D$26)-IF($C$26="",1,$C$26)+1))*100+$BW$26,-999999)</f>
        <v>-999999</v>
      </c>
      <c r="CG30" s="20">
        <f>IF(AND($B$27&lt;&gt;"",$J30&lt;=$B$11,$J30&gt;=IF($C$27="",1,$C$27),$J30&lt;=IF($D$27="",$B$11,$D$27),COUNTIF($K$18:$K29,$B$27)=0),(100-IF($D$27="",$B$11,$D$27))*1000+(100-(IF($D$27="",$B$11,$D$27)-IF($C$27="",1,$C$27)+1))*100+$BW$27,-999999)</f>
        <v>-999999</v>
      </c>
      <c r="CH30" s="20">
        <f>IF(AND($B$28&lt;&gt;"",$J30&lt;=$B$11,$J30&gt;=IF($C$28="",1,$C$28),$J30&lt;=IF($D$28="",$B$11,$D$28),COUNTIF($K$18:$K29,$B$28)=0),(100-IF($D$28="",$B$11,$D$28))*1000+(100-(IF($D$28="",$B$11,$D$28)-IF($C$28="",1,$C$28)+1))*100+$BW$28,-999999)</f>
        <v>-999999</v>
      </c>
      <c r="CI30" s="20">
        <f>IF(AND($B$29&lt;&gt;"",$J30&lt;=$B$11,$J30&gt;=IF($C$29="",1,$C$29),$J30&lt;=IF($D$29="",$B$11,$D$29),COUNTIF($K$18:$K29,$B$29)=0),(100-IF($D$29="",$B$11,$D$29))*1000+(100-(IF($D$29="",$B$11,$D$29)-IF($C$29="",1,$C$29)+1))*100+$BW$29,-999999)</f>
        <v>-999999</v>
      </c>
      <c r="CJ30" s="20">
        <f>IF(AND($B$30&lt;&gt;"",$J30&lt;=$B$11,$J30&gt;=IF($C$30="",1,$C$30),$J30&lt;=IF($D$30="",$B$11,$D$30),COUNTIF($K$18:$K29,$B$30)=0),(100-IF($D$30="",$B$11,$D$30))*1000+(100-(IF($D$30="",$B$11,$D$30)-IF($C$30="",1,$C$30)+1))*100+$BW$30,-999999)</f>
        <v>-999999</v>
      </c>
      <c r="CK30" s="20" t="str">
        <f>IF(AND($B30&lt;&gt;"",$F30="Yes"),COUNTIFS($B$18:$B30,"&lt;&gt;",$F$18:$F30,"Yes"),"")</f>
        <v/>
      </c>
    </row>
    <row r="31" spans="1:89" ht="26.4" customHeight="1">
      <c r="A31" s="14" t="s">
        <v>88</v>
      </c>
      <c r="B31" s="15" t="s">
        <v>89</v>
      </c>
      <c r="C31" s="15" t="s">
        <v>90</v>
      </c>
      <c r="D31" s="15" t="s">
        <v>73</v>
      </c>
      <c r="E31" s="15" t="s">
        <v>91</v>
      </c>
      <c r="F31" s="16" t="s">
        <v>92</v>
      </c>
      <c r="H31" s="14" t="s">
        <v>70</v>
      </c>
      <c r="I31" s="15" t="s">
        <v>8</v>
      </c>
      <c r="J31" s="15" t="s">
        <v>93</v>
      </c>
      <c r="K31" s="15" t="s">
        <v>94</v>
      </c>
      <c r="L31" s="15" t="s">
        <v>95</v>
      </c>
      <c r="M31" s="15" t="s">
        <v>96</v>
      </c>
      <c r="N31" s="16" t="s">
        <v>97</v>
      </c>
      <c r="T31" s="33" t="s">
        <v>98</v>
      </c>
      <c r="U31" s="34" t="s">
        <v>99</v>
      </c>
      <c r="V31" s="34" t="s">
        <v>100</v>
      </c>
      <c r="W31" s="34" t="s">
        <v>101</v>
      </c>
      <c r="X31" s="34" t="s">
        <v>102</v>
      </c>
      <c r="Y31" s="34" t="s">
        <v>103</v>
      </c>
      <c r="Z31" s="34" t="s">
        <v>104</v>
      </c>
      <c r="AA31" s="34" t="s">
        <v>105</v>
      </c>
      <c r="AB31" s="34" t="s">
        <v>106</v>
      </c>
      <c r="AC31" s="34" t="s">
        <v>107</v>
      </c>
      <c r="AD31" s="34" t="s">
        <v>108</v>
      </c>
      <c r="AE31" s="34" t="s">
        <v>109</v>
      </c>
      <c r="AF31" s="34" t="s">
        <v>110</v>
      </c>
      <c r="AG31" s="34" t="s">
        <v>111</v>
      </c>
      <c r="AH31" s="34" t="s">
        <v>112</v>
      </c>
      <c r="AI31" s="34" t="s">
        <v>113</v>
      </c>
      <c r="AJ31" s="34" t="s">
        <v>114</v>
      </c>
      <c r="AK31" s="34" t="s">
        <v>115</v>
      </c>
      <c r="AL31" s="34" t="s">
        <v>116</v>
      </c>
      <c r="AM31" s="34" t="s">
        <v>117</v>
      </c>
      <c r="AN31" s="34" t="s">
        <v>118</v>
      </c>
      <c r="AO31" s="34" t="s">
        <v>119</v>
      </c>
      <c r="AP31" s="34" t="s">
        <v>120</v>
      </c>
      <c r="AQ31" s="34" t="s">
        <v>121</v>
      </c>
      <c r="AR31" s="34" t="s">
        <v>122</v>
      </c>
      <c r="AS31" s="34" t="s">
        <v>123</v>
      </c>
      <c r="AT31" s="34" t="s">
        <v>124</v>
      </c>
      <c r="AU31" s="34" t="s">
        <v>125</v>
      </c>
      <c r="AV31" s="34" t="s">
        <v>126</v>
      </c>
      <c r="AW31" s="34" t="s">
        <v>127</v>
      </c>
      <c r="AX31" s="34" t="s">
        <v>128</v>
      </c>
      <c r="AY31" s="34" t="s">
        <v>129</v>
      </c>
      <c r="AZ31" s="34" t="s">
        <v>130</v>
      </c>
      <c r="BA31" s="34" t="s">
        <v>131</v>
      </c>
      <c r="BB31" s="34" t="s">
        <v>132</v>
      </c>
      <c r="BC31" s="34" t="s">
        <v>133</v>
      </c>
      <c r="BD31" s="34" t="s">
        <v>134</v>
      </c>
      <c r="BE31" s="34" t="s">
        <v>135</v>
      </c>
      <c r="BF31" s="34" t="s">
        <v>136</v>
      </c>
      <c r="BG31" s="34" t="s">
        <v>137</v>
      </c>
      <c r="BH31" s="34" t="s">
        <v>138</v>
      </c>
      <c r="BI31" s="34" t="s">
        <v>139</v>
      </c>
      <c r="BJ31" s="34" t="s">
        <v>140</v>
      </c>
      <c r="BK31" s="34" t="s">
        <v>141</v>
      </c>
      <c r="BL31" s="34" t="s">
        <v>142</v>
      </c>
      <c r="BM31" s="34" t="s">
        <v>143</v>
      </c>
      <c r="BN31" s="34" t="s">
        <v>144</v>
      </c>
      <c r="BO31" s="34" t="s">
        <v>145</v>
      </c>
      <c r="BP31" s="34" t="s">
        <v>146</v>
      </c>
      <c r="BQ31" s="34" t="s">
        <v>147</v>
      </c>
      <c r="BR31" s="34" t="s">
        <v>148</v>
      </c>
      <c r="BS31" s="34" t="s">
        <v>149</v>
      </c>
      <c r="BT31" s="34" t="s">
        <v>150</v>
      </c>
      <c r="BU31" s="34" t="s">
        <v>151</v>
      </c>
      <c r="BV31" s="35" t="s">
        <v>152</v>
      </c>
      <c r="BW31" s="20"/>
      <c r="BX31" s="20"/>
      <c r="BY31" s="20"/>
      <c r="BZ31" s="20"/>
      <c r="CA31" s="20"/>
      <c r="CB31" s="20"/>
      <c r="CC31" s="20"/>
      <c r="CD31" s="20"/>
      <c r="CE31" s="20"/>
      <c r="CF31" s="20"/>
      <c r="CG31" s="20"/>
      <c r="CH31" s="20"/>
      <c r="CI31" s="20"/>
      <c r="CJ31" s="20"/>
      <c r="CK31" s="20"/>
    </row>
    <row r="32" spans="1:89" ht="26.4" customHeight="1">
      <c r="A32" s="18">
        <v>1</v>
      </c>
      <c r="B32" s="18" t="str">
        <f t="shared" ref="B32:B71" si="5">IF($A32&gt;$B$5,"",IF($B$8="One Keeper",$E$4,IF($A32&lt;=$B$8,$E$4,$E$5)))</f>
        <v>Player 1</v>
      </c>
      <c r="C32" s="18" t="str">
        <f t="shared" ref="C32:C71" si="6">IF($A32&gt;$B$5,"",IFERROR(INDEX($AI32:$AU32,1,MATCH(TRUE,$AV32:$BH32,0)),"Check plan"))</f>
        <v>Player 3</v>
      </c>
      <c r="D32" s="18">
        <f t="shared" ref="D32:D71" si="7">IFERROR(MATCH($C32,$P$18:$P$30,0),"")</f>
        <v>1</v>
      </c>
      <c r="E32" s="18">
        <f>IF($C32="","",COUNTIF($C$32:C32,$C32))</f>
        <v>1</v>
      </c>
      <c r="F32" s="18" t="str">
        <f t="shared" ref="F32:F71" si="8">IF($A32&gt;$B$5,"",IF($C32="Check plan",""&amp;"No eligible bowler","")&amp;IF($C32=$B32,IF(OR($C32="Check plan"),", ","")&amp;"WK conflict","")&amp;IF(AND($A32&gt;1,$C32&lt;&gt;"",$C32=$C31),IF(OR($C32="Check plan",$C32=$B32),", ","")&amp;"Consecutive over","")&amp;IF($E32&gt;$B$6,IF(OR($C32="Check plan",$C32=$B32,AND($A32&gt;1,$C32&lt;&gt;"",$C32=$C31)),", ","")&amp;"Over max",""))</f>
        <v/>
      </c>
      <c r="H32" s="18" t="str">
        <f t="shared" ref="H32:H44" si="9">IF($B18="","",$B18)</f>
        <v>Player 1</v>
      </c>
      <c r="I32" s="18">
        <f t="shared" ref="I32:I44" si="10">IF($H32="","",COUNTIF($C$32:$C$71,$H32))</f>
        <v>3</v>
      </c>
      <c r="J32" s="18" t="str">
        <f t="shared" ref="J32:J44" si="11">IF($H32="","",IF($I32&lt;=$B$6,"OK","Over max"))</f>
        <v>OK</v>
      </c>
      <c r="K32" s="18" t="str">
        <f>IF($H32="","",IF($B$3="Stage 1","",IF($B$10="Finals","Finals",IF($B$3="Stage 2",IF($B$5=20,IF($B$11=11,IF($I32&gt;=1,"OK","Needs 1+"),IF($I32&gt;=2,"OK","Needs 2")),IF($B$5=30,IF($I32&gt;=2,"OK","Needs 2"),IF($I32&gt;=Setup!$B$14,"OK","Below target"))),IF($B$3="Stage 3",IF(OR($B$15="Year 8 Boys",$B$15="Year 9 Boys",$B$15="Year 10-11 Boys"),"Team rule",IF($B$5=20,IF($B$11&gt;10,IF($I32&gt;=1,"OK","Needs 1+"),IF($I32&gt;=2,"OK","Needs 2")),IF($I32&gt;=MAX(2,Setup!$B$14),"OK","Needs "&amp;MAX(2,Setup!$B$14)))),"")))))</f>
        <v/>
      </c>
      <c r="L32" s="18" t="str">
        <f t="shared" ref="L32:L44" si="12">IF($H32="","",IF($I32&gt;0,"Yes","No"))</f>
        <v>Yes</v>
      </c>
      <c r="M32" s="18" t="str">
        <f t="shared" ref="M32:M44" si="13">IF($H32="","",IF(AND(OR($B$3="Stage 2",$B$3="Stage 3"),$B$10&lt;&gt;"Finals"),"Track 5 unique positions each half",""))</f>
        <v/>
      </c>
      <c r="N32" s="18" t="str">
        <f t="shared" ref="N32:N44" si="14">IF($H32="","",IF(AND($B$3="Stage 3",OR($B$15="Year 8 Boys",$B$15="Year 9 Boys",$B$15="Year 10-11 Boys"),$B$8="One Keeper",$H32=$E$4),"",IF(IFERROR(INDEX($H$18:$H$30,MATCH($H32,$B$18:$B$30,0)),"No")="Yes","Must bowl this match","")))</f>
        <v/>
      </c>
      <c r="T32" s="20">
        <f t="shared" ref="T32:T71" si="15">IF($A32&gt;$B$5,"",IF($B$7="One at a time",MOD($A32-1,$B$11)+1,MOD(INT(($A32-1)/(IF($B$7="Two-over spell",2,3)*2))*2+MOD($A32-1,2),$B$11)+1))</f>
        <v>1</v>
      </c>
      <c r="U32" s="20" t="b">
        <f>IF(OR($B$3="Stage 2",AND($B$3="Stage 3",OR($B$15="Year 10-11-12 Girls"))),(IF(AND($P$18&lt;&gt;"",$P$18&lt;&gt;$E$4,COUNTIF($C$31:$C$31,$P$18)&gt;=2),1,0)+IF(AND($P$19&lt;&gt;"",$P$19&lt;&gt;$E$4,COUNTIF($C$31:$C$31,$P$19)&gt;=2),1,0)+IF(AND($P$20&lt;&gt;"",$P$20&lt;&gt;$E$4,COUNTIF($C$31:$C$31,$P$20)&gt;=2),1,0)+IF(AND($P$21&lt;&gt;"",$P$21&lt;&gt;$E$4,COUNTIF($C$31:$C$31,$P$21)&gt;=2),1,0)+IF(AND($P$22&lt;&gt;"",$P$22&lt;&gt;$E$4,COUNTIF($C$31:$C$31,$P$22)&gt;=2),1,0)+IF(AND($P$23&lt;&gt;"",$P$23&lt;&gt;$E$4,COUNTIF($C$31:$C$31,$P$23)&gt;=2),1,0)+IF(AND($P$24&lt;&gt;"",$P$24&lt;&gt;$E$4,COUNTIF($C$31:$C$31,$P$24)&gt;=2),1,0)+IF(AND($P$25&lt;&gt;"",$P$25&lt;&gt;$E$4,COUNTIF($C$31:$C$31,$P$25)&gt;=2),1,0)+IF(AND($P$26&lt;&gt;"",$P$26&lt;&gt;$E$4,COUNTIF($C$31:$C$31,$P$26)&gt;=2),1,0)+IF(AND($P$27&lt;&gt;"",$P$27&lt;&gt;$E$4,COUNTIF($C$31:$C$31,$P$27)&gt;=2),1,0)+IF(AND($P$28&lt;&gt;"",$P$28&lt;&gt;$E$4,COUNTIF($C$31:$C$31,$P$28)&gt;=2),1,0)+IF(AND($P$29&lt;&gt;"",$P$29&lt;&gt;$E$4,COUNTIF($C$31:$C$31,$P$29)&gt;=2),1,0)+IF(AND($P$30&lt;&gt;"",$P$30&lt;&gt;$E$4,COUNTIF($C$31:$C$31,$P$30)&gt;=2),1,0))&gt;=MAX(0,$B$11-1),IF(AND($B$3="Stage 3",OR($B$15="Year 8 Boys",$B$15="Year 9 Boys",$B$15="Year 10-11 Boys")),(IF(AND($P$18&lt;&gt;"",COUNTIF($C$31:$C$31,$P$18)&gt;=2),1,0)+IF(AND($P$19&lt;&gt;"",COUNTIF($C$31:$C$31,$P$19)&gt;=2),1,0)+IF(AND($P$20&lt;&gt;"",COUNTIF($C$31:$C$31,$P$20)&gt;=2),1,0)+IF(AND($P$21&lt;&gt;"",COUNTIF($C$31:$C$31,$P$21)&gt;=2),1,0)+IF(AND($P$22&lt;&gt;"",COUNTIF($C$31:$C$31,$P$22)&gt;=2),1,0)+IF(AND($P$23&lt;&gt;"",COUNTIF($C$31:$C$31,$P$23)&gt;=2),1,0)+IF(AND($P$24&lt;&gt;"",COUNTIF($C$31:$C$31,$P$24)&gt;=2),1,0)+IF(AND($P$25&lt;&gt;"",COUNTIF($C$31:$C$31,$P$25)&gt;=2),1,0)+IF(AND($P$26&lt;&gt;"",COUNTIF($C$31:$C$31,$P$26)&gt;=2),1,0)+IF(AND($P$27&lt;&gt;"",COUNTIF($C$31:$C$31,$P$27)&gt;=2),1,0)+IF(AND($P$28&lt;&gt;"",COUNTIF($C$31:$C$31,$P$28)&gt;=2),1,0)+IF(AND($P$29&lt;&gt;"",COUNTIF($C$31:$C$31,$P$29)&gt;=2),1,0)+IF(AND($P$30&lt;&gt;"",COUNTIF($C$31:$C$31,$P$30)&gt;=2),1,0))&gt;=7,TRUE))</f>
        <v>1</v>
      </c>
      <c r="V32" s="20">
        <f t="shared" ref="V32:AH41" si="16">IF($A32&gt;$B$5,"",MOD($T32+V$30-2,$B$11)+1)</f>
        <v>1</v>
      </c>
      <c r="W32" s="20">
        <f t="shared" si="16"/>
        <v>2</v>
      </c>
      <c r="X32" s="20">
        <f t="shared" si="16"/>
        <v>3</v>
      </c>
      <c r="Y32" s="20">
        <f t="shared" si="16"/>
        <v>4</v>
      </c>
      <c r="Z32" s="20">
        <f t="shared" si="16"/>
        <v>5</v>
      </c>
      <c r="AA32" s="20">
        <f t="shared" si="16"/>
        <v>6</v>
      </c>
      <c r="AB32" s="20">
        <f t="shared" si="16"/>
        <v>7</v>
      </c>
      <c r="AC32" s="20">
        <f t="shared" si="16"/>
        <v>1</v>
      </c>
      <c r="AD32" s="20">
        <f t="shared" si="16"/>
        <v>2</v>
      </c>
      <c r="AE32" s="20">
        <f t="shared" si="16"/>
        <v>3</v>
      </c>
      <c r="AF32" s="20">
        <f t="shared" si="16"/>
        <v>4</v>
      </c>
      <c r="AG32" s="20">
        <f t="shared" si="16"/>
        <v>5</v>
      </c>
      <c r="AH32" s="20">
        <f t="shared" si="16"/>
        <v>6</v>
      </c>
      <c r="AI32" s="20" t="str">
        <f t="shared" ref="AI32:AI71" si="17">IF(V32="","",INDEX($P$18:$P$30,V32))</f>
        <v>Player 3</v>
      </c>
      <c r="AJ32" s="20" t="str">
        <f t="shared" ref="AJ32:AJ71" si="18">IF(W32="","",INDEX($P$18:$P$30,W32))</f>
        <v>Player 4</v>
      </c>
      <c r="AK32" s="20" t="str">
        <f t="shared" ref="AK32:AK71" si="19">IF(X32="","",INDEX($P$18:$P$30,X32))</f>
        <v>Player 5</v>
      </c>
      <c r="AL32" s="20" t="str">
        <f t="shared" ref="AL32:AL71" si="20">IF(Y32="","",INDEX($P$18:$P$30,Y32))</f>
        <v>Player 6</v>
      </c>
      <c r="AM32" s="20" t="str">
        <f t="shared" ref="AM32:AM71" si="21">IF(Z32="","",INDEX($P$18:$P$30,Z32))</f>
        <v>Player 7</v>
      </c>
      <c r="AN32" s="20" t="str">
        <f t="shared" ref="AN32:AN71" si="22">IF(AA32="","",INDEX($P$18:$P$30,AA32))</f>
        <v>Player 1</v>
      </c>
      <c r="AO32" s="20" t="str">
        <f t="shared" ref="AO32:AO71" si="23">IF(AB32="","",INDEX($P$18:$P$30,AB32))</f>
        <v>Player 2</v>
      </c>
      <c r="AP32" s="20" t="str">
        <f t="shared" ref="AP32:AP71" si="24">IF(AC32="","",INDEX($P$18:$P$30,AC32))</f>
        <v>Player 3</v>
      </c>
      <c r="AQ32" s="20" t="str">
        <f t="shared" ref="AQ32:AQ71" si="25">IF(AD32="","",INDEX($P$18:$P$30,AD32))</f>
        <v>Player 4</v>
      </c>
      <c r="AR32" s="20" t="str">
        <f t="shared" ref="AR32:AR71" si="26">IF(AE32="","",INDEX($P$18:$P$30,AE32))</f>
        <v>Player 5</v>
      </c>
      <c r="AS32" s="20" t="str">
        <f t="shared" ref="AS32:AS71" si="27">IF(AF32="","",INDEX($P$18:$P$30,AF32))</f>
        <v>Player 6</v>
      </c>
      <c r="AT32" s="20" t="str">
        <f t="shared" ref="AT32:AT71" si="28">IF(AG32="","",INDEX($P$18:$P$30,AG32))</f>
        <v>Player 7</v>
      </c>
      <c r="AU32" s="20" t="str">
        <f t="shared" ref="AU32:AU71" si="29">IF(AH32="","",INDEX($P$18:$P$30,AH32))</f>
        <v>Player 1</v>
      </c>
      <c r="AV32" s="20" t="b">
        <f>IF(AI32="",FALSE,AND(AI32&lt;&gt;$B32,AI32&lt;&gt;$C31,IFERROR(INDEX($E$18:$E$30,MATCH(AI32,$B$18:$B$30,0)),"No")="Yes",IF(AND(OR($B$3="Stage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Girls"))),$B$5&gt;20),MIN(3,MAX(2,Setup!$B$14)),2))*2),AI32=$E$5,IF(AND(OR($B$3="Stage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Girls"))),$B$5&gt;20),MIN(3,MAX(2,Setup!$B$14)),2))*2-1))),AI32=$E$4,TRUE)),COUNTIF($C$31:$C$31,AI32)&lt;$B$6,IF($BI32,COUNTIF($C$31:$C$31,AI32)&lt;IF($B$3="Stage 1",MIN($B$6,MAX(1,INT($B$5/$B$11))),IF(AND($B$3="Stage 3",$B$5=20,$B$11&gt;11),1,IF(AND($B$3="Stage 3",OR($B$15="Year 10-11-12 Girls"),$B$5&gt;20),MAX(2,Setup!$B$14),Setup!$B$14))),IF(AND($B$3&lt;&gt;"Stage 2",$B$3&lt;&gt;"Stage 3"),TRUE,IF($U32,TRUE,COUNTIF($C$31:$C$31,AI32)&lt;IF(AND($B$3="Stage 2",$B$5=20,AI32=$E$5,$A32&lt;=IF($B$8="One Keeper",$B$5,$B$8)),2,IF(AND(OR($B$3="Stage 2",AND($B$3="Stage 3",OR($B$15="Year 10-11-12 Girls"))),AI32=$E$5,$A32&lt;=IF($B$8="One Keeper",$B$5,$B$8)),3,$B$9)))))))</f>
        <v>1</v>
      </c>
      <c r="AW32" s="20" t="b">
        <f>IF(AJ32="",FALSE,AND(AJ32&lt;&gt;$B32,AJ32&lt;&gt;$C31,IFERROR(INDEX($E$18:$E$30,MATCH(AJ32,$B$18:$B$30,0)),"No")="Yes",IF(AND(OR($B$3="Stage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Girls"))),$B$5&gt;20),MIN(3,MAX(2,Setup!$B$14)),2))*2),AJ32=$E$5,IF(AND(OR($B$3="Stage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Girls"))),$B$5&gt;20),MIN(3,MAX(2,Setup!$B$14)),2))*2-1))),AJ32=$E$4,TRUE)),COUNTIF($C$31:$C$31,AJ32)&lt;$B$6,IF($BI32,COUNTIF($C$31:$C$31,AJ32)&lt;IF($B$3="Stage 1",MIN($B$6,MAX(1,INT($B$5/$B$11))),IF(AND($B$3="Stage 3",$B$5=20,$B$11&gt;11),1,IF(AND($B$3="Stage 3",OR($B$15="Year 10-11-12 Girls"),$B$5&gt;20),MAX(2,Setup!$B$14),Setup!$B$14))),IF(AND($B$3&lt;&gt;"Stage 2",$B$3&lt;&gt;"Stage 3"),TRUE,IF($U32,TRUE,COUNTIF($C$31:$C$31,AJ32)&lt;IF(AND($B$3="Stage 2",$B$5=20,AJ32=$E$5,$A32&lt;=IF($B$8="One Keeper",$B$5,$B$8)),2,IF(AND(OR($B$3="Stage 2",AND($B$3="Stage 3",OR($B$15="Year 10-11-12 Girls"))),AJ32=$E$5,$A32&lt;=IF($B$8="One Keeper",$B$5,$B$8)),3,$B$9)))))))</f>
        <v>1</v>
      </c>
      <c r="AX32" s="20" t="b">
        <f>IF(AK32="",FALSE,AND(AK32&lt;&gt;$B32,AK32&lt;&gt;$C31,IFERROR(INDEX($E$18:$E$30,MATCH(AK32,$B$18:$B$30,0)),"No")="Yes",IF(AND(OR($B$3="Stage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Girls"))),$B$5&gt;20),MIN(3,MAX(2,Setup!$B$14)),2))*2),AK32=$E$5,IF(AND(OR($B$3="Stage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Girls"))),$B$5&gt;20),MIN(3,MAX(2,Setup!$B$14)),2))*2-1))),AK32=$E$4,TRUE)),COUNTIF($C$31:$C$31,AK32)&lt;$B$6,IF($BI32,COUNTIF($C$31:$C$31,AK32)&lt;IF($B$3="Stage 1",MIN($B$6,MAX(1,INT($B$5/$B$11))),IF(AND($B$3="Stage 3",$B$5=20,$B$11&gt;11),1,IF(AND($B$3="Stage 3",OR($B$15="Year 10-11-12 Girls"),$B$5&gt;20),MAX(2,Setup!$B$14),Setup!$B$14))),IF(AND($B$3&lt;&gt;"Stage 2",$B$3&lt;&gt;"Stage 3"),TRUE,IF($U32,TRUE,COUNTIF($C$31:$C$31,AK32)&lt;IF(AND($B$3="Stage 2",$B$5=20,AK32=$E$5,$A32&lt;=IF($B$8="One Keeper",$B$5,$B$8)),2,IF(AND(OR($B$3="Stage 2",AND($B$3="Stage 3",OR($B$15="Year 10-11-12 Girls"))),AK32=$E$5,$A32&lt;=IF($B$8="One Keeper",$B$5,$B$8)),3,$B$9)))))))</f>
        <v>1</v>
      </c>
      <c r="AY32" s="20" t="b">
        <f>IF(AL32="",FALSE,AND(AL32&lt;&gt;$B32,AL32&lt;&gt;$C31,IFERROR(INDEX($E$18:$E$30,MATCH(AL32,$B$18:$B$30,0)),"No")="Yes",IF(AND(OR($B$3="Stage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Girls"))),$B$5&gt;20),MIN(3,MAX(2,Setup!$B$14)),2))*2),AL32=$E$5,IF(AND(OR($B$3="Stage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Girls"))),$B$5&gt;20),MIN(3,MAX(2,Setup!$B$14)),2))*2-1))),AL32=$E$4,TRUE)),COUNTIF($C$31:$C$31,AL32)&lt;$B$6,IF($BI32,COUNTIF($C$31:$C$31,AL32)&lt;IF($B$3="Stage 1",MIN($B$6,MAX(1,INT($B$5/$B$11))),IF(AND($B$3="Stage 3",$B$5=20,$B$11&gt;11),1,IF(AND($B$3="Stage 3",OR($B$15="Year 10-11-12 Girls"),$B$5&gt;20),MAX(2,Setup!$B$14),Setup!$B$14))),IF(AND($B$3&lt;&gt;"Stage 2",$B$3&lt;&gt;"Stage 3"),TRUE,IF($U32,TRUE,COUNTIF($C$31:$C$31,AL32)&lt;IF(AND($B$3="Stage 2",$B$5=20,AL32=$E$5,$A32&lt;=IF($B$8="One Keeper",$B$5,$B$8)),2,IF(AND(OR($B$3="Stage 2",AND($B$3="Stage 3",OR($B$15="Year 10-11-12 Girls"))),AL32=$E$5,$A32&lt;=IF($B$8="One Keeper",$B$5,$B$8)),3,$B$9)))))))</f>
        <v>1</v>
      </c>
      <c r="AZ32" s="20" t="b">
        <f>IF(AM32="",FALSE,AND(AM32&lt;&gt;$B32,AM32&lt;&gt;$C31,IFERROR(INDEX($E$18:$E$30,MATCH(AM32,$B$18:$B$30,0)),"No")="Yes",IF(AND(OR($B$3="Stage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Girls"))),$B$5&gt;20),MIN(3,MAX(2,Setup!$B$14)),2))*2),AM32=$E$5,IF(AND(OR($B$3="Stage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Girls"))),$B$5&gt;20),MIN(3,MAX(2,Setup!$B$14)),2))*2-1))),AM32=$E$4,TRUE)),COUNTIF($C$31:$C$31,AM32)&lt;$B$6,IF($BI32,COUNTIF($C$31:$C$31,AM32)&lt;IF($B$3="Stage 1",MIN($B$6,MAX(1,INT($B$5/$B$11))),IF(AND($B$3="Stage 3",$B$5=20,$B$11&gt;11),1,IF(AND($B$3="Stage 3",OR($B$15="Year 10-11-12 Girls"),$B$5&gt;20),MAX(2,Setup!$B$14),Setup!$B$14))),IF(AND($B$3&lt;&gt;"Stage 2",$B$3&lt;&gt;"Stage 3"),TRUE,IF($U32,TRUE,COUNTIF($C$31:$C$31,AM32)&lt;IF(AND($B$3="Stage 2",$B$5=20,AM32=$E$5,$A32&lt;=IF($B$8="One Keeper",$B$5,$B$8)),2,IF(AND(OR($B$3="Stage 2",AND($B$3="Stage 3",OR($B$15="Year 10-11-12 Girls"))),AM32=$E$5,$A32&lt;=IF($B$8="One Keeper",$B$5,$B$8)),3,$B$9)))))))</f>
        <v>1</v>
      </c>
      <c r="BA32" s="20" t="b">
        <f>IF(AN32="",FALSE,AND(AN32&lt;&gt;$B32,AN32&lt;&gt;$C31,IFERROR(INDEX($E$18:$E$30,MATCH(AN32,$B$18:$B$30,0)),"No")="Yes",IF(AND(OR($B$3="Stage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Girls"))),$B$5&gt;20),MIN(3,MAX(2,Setup!$B$14)),2))*2),AN32=$E$5,IF(AND(OR($B$3="Stage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Girls"))),$B$5&gt;20),MIN(3,MAX(2,Setup!$B$14)),2))*2-1))),AN32=$E$4,TRUE)),COUNTIF($C$31:$C$31,AN32)&lt;$B$6,IF($BI32,COUNTIF($C$31:$C$31,AN32)&lt;IF($B$3="Stage 1",MIN($B$6,MAX(1,INT($B$5/$B$11))),IF(AND($B$3="Stage 3",$B$5=20,$B$11&gt;11),1,IF(AND($B$3="Stage 3",OR($B$15="Year 10-11-12 Girls"),$B$5&gt;20),MAX(2,Setup!$B$14),Setup!$B$14))),IF(AND($B$3&lt;&gt;"Stage 2",$B$3&lt;&gt;"Stage 3"),TRUE,IF($U32,TRUE,COUNTIF($C$31:$C$31,AN32)&lt;IF(AND($B$3="Stage 2",$B$5=20,AN32=$E$5,$A32&lt;=IF($B$8="One Keeper",$B$5,$B$8)),2,IF(AND(OR($B$3="Stage 2",AND($B$3="Stage 3",OR($B$15="Year 10-11-12 Girls"))),AN32=$E$5,$A32&lt;=IF($B$8="One Keeper",$B$5,$B$8)),3,$B$9)))))))</f>
        <v>0</v>
      </c>
      <c r="BB32" s="20" t="b">
        <f>IF(AO32="",FALSE,AND(AO32&lt;&gt;$B32,AO32&lt;&gt;$C31,IFERROR(INDEX($E$18:$E$30,MATCH(AO32,$B$18:$B$30,0)),"No")="Yes",IF(AND(OR($B$3="Stage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Girls"))),$B$5&gt;20),MIN(3,MAX(2,Setup!$B$14)),2))*2),AO32=$E$5,IF(AND(OR($B$3="Stage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Girls"))),$B$5&gt;20),MIN(3,MAX(2,Setup!$B$14)),2))*2-1))),AO32=$E$4,TRUE)),COUNTIF($C$31:$C$31,AO32)&lt;$B$6,IF($BI32,COUNTIF($C$31:$C$31,AO32)&lt;IF($B$3="Stage 1",MIN($B$6,MAX(1,INT($B$5/$B$11))),IF(AND($B$3="Stage 3",$B$5=20,$B$11&gt;11),1,IF(AND($B$3="Stage 3",OR($B$15="Year 10-11-12 Girls"),$B$5&gt;20),MAX(2,Setup!$B$14),Setup!$B$14))),IF(AND($B$3&lt;&gt;"Stage 2",$B$3&lt;&gt;"Stage 3"),TRUE,IF($U32,TRUE,COUNTIF($C$31:$C$31,AO32)&lt;IF(AND($B$3="Stage 2",$B$5=20,AO32=$E$5,$A32&lt;=IF($B$8="One Keeper",$B$5,$B$8)),2,IF(AND(OR($B$3="Stage 2",AND($B$3="Stage 3",OR($B$15="Year 10-11-12 Girls"))),AO32=$E$5,$A32&lt;=IF($B$8="One Keeper",$B$5,$B$8)),3,$B$9)))))))</f>
        <v>1</v>
      </c>
      <c r="BC32" s="20" t="b">
        <f>IF(AP32="",FALSE,AND(AP32&lt;&gt;$B32,AP32&lt;&gt;$C31,IFERROR(INDEX($E$18:$E$30,MATCH(AP32,$B$18:$B$30,0)),"No")="Yes",IF(AND(OR($B$3="Stage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Girls"))),$B$5&gt;20),MIN(3,MAX(2,Setup!$B$14)),2))*2),AP32=$E$5,IF(AND(OR($B$3="Stage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Girls"))),$B$5&gt;20),MIN(3,MAX(2,Setup!$B$14)),2))*2-1))),AP32=$E$4,TRUE)),COUNTIF($C$31:$C$31,AP32)&lt;$B$6,IF($BI32,COUNTIF($C$31:$C$31,AP32)&lt;IF($B$3="Stage 1",MIN($B$6,MAX(1,INT($B$5/$B$11))),IF(AND($B$3="Stage 3",$B$5=20,$B$11&gt;11),1,IF(AND($B$3="Stage 3",OR($B$15="Year 10-11-12 Girls"),$B$5&gt;20),MAX(2,Setup!$B$14),Setup!$B$14))),IF(AND($B$3&lt;&gt;"Stage 2",$B$3&lt;&gt;"Stage 3"),TRUE,IF($U32,TRUE,COUNTIF($C$31:$C$31,AP32)&lt;IF(AND($B$3="Stage 2",$B$5=20,AP32=$E$5,$A32&lt;=IF($B$8="One Keeper",$B$5,$B$8)),2,IF(AND(OR($B$3="Stage 2",AND($B$3="Stage 3",OR($B$15="Year 10-11-12 Girls"))),AP32=$E$5,$A32&lt;=IF($B$8="One Keeper",$B$5,$B$8)),3,$B$9)))))))</f>
        <v>1</v>
      </c>
      <c r="BD32" s="20" t="b">
        <f>IF(AQ32="",FALSE,AND(AQ32&lt;&gt;$B32,AQ32&lt;&gt;$C31,IFERROR(INDEX($E$18:$E$30,MATCH(AQ32,$B$18:$B$30,0)),"No")="Yes",IF(AND(OR($B$3="Stage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Girls"))),$B$5&gt;20),MIN(3,MAX(2,Setup!$B$14)),2))*2),AQ32=$E$5,IF(AND(OR($B$3="Stage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Girls"))),$B$5&gt;20),MIN(3,MAX(2,Setup!$B$14)),2))*2-1))),AQ32=$E$4,TRUE)),COUNTIF($C$31:$C$31,AQ32)&lt;$B$6,IF($BI32,COUNTIF($C$31:$C$31,AQ32)&lt;IF($B$3="Stage 1",MIN($B$6,MAX(1,INT($B$5/$B$11))),IF(AND($B$3="Stage 3",$B$5=20,$B$11&gt;11),1,IF(AND($B$3="Stage 3",OR($B$15="Year 10-11-12 Girls"),$B$5&gt;20),MAX(2,Setup!$B$14),Setup!$B$14))),IF(AND($B$3&lt;&gt;"Stage 2",$B$3&lt;&gt;"Stage 3"),TRUE,IF($U32,TRUE,COUNTIF($C$31:$C$31,AQ32)&lt;IF(AND($B$3="Stage 2",$B$5=20,AQ32=$E$5,$A32&lt;=IF($B$8="One Keeper",$B$5,$B$8)),2,IF(AND(OR($B$3="Stage 2",AND($B$3="Stage 3",OR($B$15="Year 10-11-12 Girls"))),AQ32=$E$5,$A32&lt;=IF($B$8="One Keeper",$B$5,$B$8)),3,$B$9)))))))</f>
        <v>1</v>
      </c>
      <c r="BE32" s="20" t="b">
        <f>IF(AR32="",FALSE,AND(AR32&lt;&gt;$B32,AR32&lt;&gt;$C31,IFERROR(INDEX($E$18:$E$30,MATCH(AR32,$B$18:$B$30,0)),"No")="Yes",IF(AND(OR($B$3="Stage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Girls"))),$B$5&gt;20),MIN(3,MAX(2,Setup!$B$14)),2))*2),AR32=$E$5,IF(AND(OR($B$3="Stage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Girls"))),$B$5&gt;20),MIN(3,MAX(2,Setup!$B$14)),2))*2-1))),AR32=$E$4,TRUE)),COUNTIF($C$31:$C$31,AR32)&lt;$B$6,IF($BI32,COUNTIF($C$31:$C$31,AR32)&lt;IF($B$3="Stage 1",MIN($B$6,MAX(1,INT($B$5/$B$11))),IF(AND($B$3="Stage 3",$B$5=20,$B$11&gt;11),1,IF(AND($B$3="Stage 3",OR($B$15="Year 10-11-12 Girls"),$B$5&gt;20),MAX(2,Setup!$B$14),Setup!$B$14))),IF(AND($B$3&lt;&gt;"Stage 2",$B$3&lt;&gt;"Stage 3"),TRUE,IF($U32,TRUE,COUNTIF($C$31:$C$31,AR32)&lt;IF(AND($B$3="Stage 2",$B$5=20,AR32=$E$5,$A32&lt;=IF($B$8="One Keeper",$B$5,$B$8)),2,IF(AND(OR($B$3="Stage 2",AND($B$3="Stage 3",OR($B$15="Year 10-11-12 Girls"))),AR32=$E$5,$A32&lt;=IF($B$8="One Keeper",$B$5,$B$8)),3,$B$9)))))))</f>
        <v>1</v>
      </c>
      <c r="BF32" s="20" t="b">
        <f>IF(AS32="",FALSE,AND(AS32&lt;&gt;$B32,AS32&lt;&gt;$C31,IFERROR(INDEX($E$18:$E$30,MATCH(AS32,$B$18:$B$30,0)),"No")="Yes",IF(AND(OR($B$3="Stage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Girls"))),$B$5&gt;20),MIN(3,MAX(2,Setup!$B$14)),2))*2),AS32=$E$5,IF(AND(OR($B$3="Stage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Girls"))),$B$5&gt;20),MIN(3,MAX(2,Setup!$B$14)),2))*2-1))),AS32=$E$4,TRUE)),COUNTIF($C$31:$C$31,AS32)&lt;$B$6,IF($BI32,COUNTIF($C$31:$C$31,AS32)&lt;IF($B$3="Stage 1",MIN($B$6,MAX(1,INT($B$5/$B$11))),IF(AND($B$3="Stage 3",$B$5=20,$B$11&gt;11),1,IF(AND($B$3="Stage 3",OR($B$15="Year 10-11-12 Girls"),$B$5&gt;20),MAX(2,Setup!$B$14),Setup!$B$14))),IF(AND($B$3&lt;&gt;"Stage 2",$B$3&lt;&gt;"Stage 3"),TRUE,IF($U32,TRUE,COUNTIF($C$31:$C$31,AS32)&lt;IF(AND($B$3="Stage 2",$B$5=20,AS32=$E$5,$A32&lt;=IF($B$8="One Keeper",$B$5,$B$8)),2,IF(AND(OR($B$3="Stage 2",AND($B$3="Stage 3",OR($B$15="Year 10-11-12 Girls"))),AS32=$E$5,$A32&lt;=IF($B$8="One Keeper",$B$5,$B$8)),3,$B$9)))))))</f>
        <v>1</v>
      </c>
      <c r="BG32" s="20" t="b">
        <f>IF(AT32="",FALSE,AND(AT32&lt;&gt;$B32,AT32&lt;&gt;$C31,IFERROR(INDEX($E$18:$E$30,MATCH(AT32,$B$18:$B$30,0)),"No")="Yes",IF(AND(OR($B$3="Stage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Girls"))),$B$5&gt;20),MIN(3,MAX(2,Setup!$B$14)),2))*2),AT32=$E$5,IF(AND(OR($B$3="Stage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Girls"))),$B$5&gt;20),MIN(3,MAX(2,Setup!$B$14)),2))*2-1))),AT32=$E$4,TRUE)),COUNTIF($C$31:$C$31,AT32)&lt;$B$6,IF($BI32,COUNTIF($C$31:$C$31,AT32)&lt;IF($B$3="Stage 1",MIN($B$6,MAX(1,INT($B$5/$B$11))),IF(AND($B$3="Stage 3",$B$5=20,$B$11&gt;11),1,IF(AND($B$3="Stage 3",OR($B$15="Year 10-11-12 Girls"),$B$5&gt;20),MAX(2,Setup!$B$14),Setup!$B$14))),IF(AND($B$3&lt;&gt;"Stage 2",$B$3&lt;&gt;"Stage 3"),TRUE,IF($U32,TRUE,COUNTIF($C$31:$C$31,AT32)&lt;IF(AND($B$3="Stage 2",$B$5=20,AT32=$E$5,$A32&lt;=IF($B$8="One Keeper",$B$5,$B$8)),2,IF(AND(OR($B$3="Stage 2",AND($B$3="Stage 3",OR($B$15="Year 10-11-12 Girls"))),AT32=$E$5,$A32&lt;=IF($B$8="One Keeper",$B$5,$B$8)),3,$B$9)))))))</f>
        <v>1</v>
      </c>
      <c r="BH32" s="20" t="b">
        <f>IF(AU32="",FALSE,AND(AU32&lt;&gt;$B32,AU32&lt;&gt;$C31,IFERROR(INDEX($E$18:$E$30,MATCH(AU32,$B$18:$B$30,0)),"No")="Yes",IF(AND(OR($B$3="Stage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Girls"))),$B$5&gt;20),MIN(3,MAX(2,Setup!$B$14)),2))*2),AU32=$E$5,IF(AND(OR($B$3="Stage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Girls"))),$B$5&gt;20),MIN(3,MAX(2,Setup!$B$14)),2))*2-1))),AU32=$E$4,TRUE)),COUNTIF($C$31:$C$31,AU32)&lt;$B$6,IF($BI32,COUNTIF($C$31:$C$31,AU32)&lt;IF($B$3="Stage 1",MIN($B$6,MAX(1,INT($B$5/$B$11))),IF(AND($B$3="Stage 3",$B$5=20,$B$11&gt;11),1,IF(AND($B$3="Stage 3",OR($B$15="Year 10-11-12 Girls"),$B$5&gt;20),MAX(2,Setup!$B$14),Setup!$B$14))),IF(AND($B$3&lt;&gt;"Stage 2",$B$3&lt;&gt;"Stage 3"),TRUE,IF($U32,TRUE,COUNTIF($C$31:$C$31,AU32)&lt;IF(AND($B$3="Stage 2",$B$5=20,AU32=$E$5,$A32&lt;=IF($B$8="One Keeper",$B$5,$B$8)),2,IF(AND(OR($B$3="Stage 2",AND($B$3="Stage 3",OR($B$15="Year 10-11-12 Girls"))),AU32=$E$5,$A32&lt;=IF($B$8="One Keeper",$B$5,$B$8)),3,$B$9)))))))</f>
        <v>0</v>
      </c>
      <c r="BI32"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Keeper",$E$4&lt;&gt;$E$5,$A32&lt;=IF($B$8="One Keeper",$B$5,$B$8),COUNTIF($C$31:$C$31,$E$5)&lt;IF(AND($B$3="Stage 3",$B$5=20,$B$11&gt;11),1,IF(AND(OR($B$3="Stage 2",AND($B$3="Stage 3",OR($B$15="Year 10-11-12 Girls"))),$B$5&gt;20),MIN(3,MAX(2,Setup!$B$14)),2)),IFERROR(INDEX($E$18:$E$30,MATCH($E$5,$B$18:$B$30,0)),"No")="Yes",$C31&lt;&gt;$E$5,MOD($A32,2)=0,$A32&lt;=IF(AND($B$3="Stage 3",$B$5=20,$B$11&gt;11),1,IF(AND(OR($B$3="Stage 2",AND($B$3="Stage 3",OR($B$15="Year 10-11-12 Girls"))),$B$5&gt;20),MIN(3,MAX(2,Setup!$B$14)),2))*2),AND(OR($B$3="Stage 1",$B$3="Stage 2",AND($B$3="Stage 3",OR(OR($B$15="Year 10-11-12 Girls"),OR($B$15="Year 8 Boys",$B$15="Year 9 Boys",$B$15="Year 10-11 Boys")))),$B$8&lt;&gt;"One Keeper",$E$4&lt;&gt;$E$5,$A32&gt;IF($B$8="One Keeper",$B$5,$B$8),COUNTIF($C$31:$C$31,$E$4)&lt;IF(AND($B$3="Stage 3",$B$5=20,$B$11&gt;11),1,IF(AND(OR($B$3="Stage 2",AND($B$3="Stage 3",OR($B$15="Year 10-11-12 Girls"))),$B$5&gt;20),MIN(3,MAX(2,Setup!$B$14)),2)),IFERROR(INDEX($E$18:$E$30,MATCH($E$4,$B$18:$B$30,0)),"No")="Yes",$C31&lt;&gt;$E$4,IF($B$7="Three-over spell",AND(MOD($A32-IF($B$8="One Keeper",$B$5,$B$8)-1,3)=0,($A32-IF($B$8="One Keeper",$B$5,$B$8))&lt;=1+(IF(AND($B$3="Stage 3",$B$5=20,$B$11&gt;11),1,IF(AND(OR($B$3="Stage 2",AND($B$3="Stage 3",OR($B$15="Year 10-11-12 Girls"))),$B$5&gt;20),MIN(3,MAX(2,Setup!$B$14)),2))-1)*3),AND(MOD($A32-IF($B$8="One Keeper",$B$5,$B$8),2)=1,($A32-IF($B$8="One Keeper",$B$5,$B$8))&lt;=IF(AND($B$3="Stage 3",$B$5=20,$B$11&gt;11),1,IF(AND(OR($B$3="Stage 2",AND($B$3="Stage 3",OR($B$15="Year 10-11-12 Girls"))),$B$5&gt;20),MIN(3,MAX(2,Setup!$B$14)),2))*2-1))))),OR($U32,AND($B$3="Stage 3",$B$5=20,$B$11&gt;11)),OR($BJ32,$BK32,$BL32,$BM32,$BN32,$BO32,$BP32,$BQ32,$BR32,$BS32,$BT32,$BU32,$BV32))</f>
        <v>1</v>
      </c>
      <c r="BJ32" s="20" t="b">
        <f>IF(AI32="",FALSE,AND(AI32&lt;&gt;IF(AND($B$3="Stage 3",OR($B$15="Year 8 Boys",$B$15="Year 9 Boys",$B$15="Year 10-11 Boys"),$B$8="One Keeper"),$E$4,""),AI32&lt;&gt;$B32,AI32&lt;&gt;$C31,IFERROR(INDEX($E$18:$E$30,MATCH(AI32,$B$18:$B$30,0)),"No")="Yes",COUNTIF($C$31:$C$31,AI32)&lt;$B$6,COUNTIF($C$31:$C$31,AI32)&lt;IF($B$3="Stage 1",MIN($B$6,MAX(1,INT($B$5/$B$11))),IF(AND($B$3="Stage 3",$B$5=20,$B$11&gt;11),1,IF(AND($B$3="Stage 3",OR($B$15="Year 10-11-12 Girls"),$B$5&gt;20),MAX(2,Setup!$B$14),Setup!$B$14)))))</f>
        <v>1</v>
      </c>
      <c r="BK32" s="20" t="b">
        <f>IF(AJ32="",FALSE,AND(AJ32&lt;&gt;IF(AND($B$3="Stage 3",OR($B$15="Year 8 Boys",$B$15="Year 9 Boys",$B$15="Year 10-11 Boys"),$B$8="One Keeper"),$E$4,""),AJ32&lt;&gt;$B32,AJ32&lt;&gt;$C31,IFERROR(INDEX($E$18:$E$30,MATCH(AJ32,$B$18:$B$30,0)),"No")="Yes",COUNTIF($C$31:$C$31,AJ32)&lt;$B$6,COUNTIF($C$31:$C$31,AJ32)&lt;IF($B$3="Stage 1",MIN($B$6,MAX(1,INT($B$5/$B$11))),IF(AND($B$3="Stage 3",$B$5=20,$B$11&gt;11),1,IF(AND($B$3="Stage 3",OR($B$15="Year 10-11-12 Girls"),$B$5&gt;20),MAX(2,Setup!$B$14),Setup!$B$14)))))</f>
        <v>1</v>
      </c>
      <c r="BL32" s="20" t="b">
        <f>IF(AK32="",FALSE,AND(AK32&lt;&gt;IF(AND($B$3="Stage 3",OR($B$15="Year 8 Boys",$B$15="Year 9 Boys",$B$15="Year 10-11 Boys"),$B$8="One Keeper"),$E$4,""),AK32&lt;&gt;$B32,AK32&lt;&gt;$C31,IFERROR(INDEX($E$18:$E$30,MATCH(AK32,$B$18:$B$30,0)),"No")="Yes",COUNTIF($C$31:$C$31,AK32)&lt;$B$6,COUNTIF($C$31:$C$31,AK32)&lt;IF($B$3="Stage 1",MIN($B$6,MAX(1,INT($B$5/$B$11))),IF(AND($B$3="Stage 3",$B$5=20,$B$11&gt;11),1,IF(AND($B$3="Stage 3",OR($B$15="Year 10-11-12 Girls"),$B$5&gt;20),MAX(2,Setup!$B$14),Setup!$B$14)))))</f>
        <v>1</v>
      </c>
      <c r="BM32" s="20" t="b">
        <f>IF(AL32="",FALSE,AND(AL32&lt;&gt;IF(AND($B$3="Stage 3",OR($B$15="Year 8 Boys",$B$15="Year 9 Boys",$B$15="Year 10-11 Boys"),$B$8="One Keeper"),$E$4,""),AL32&lt;&gt;$B32,AL32&lt;&gt;$C31,IFERROR(INDEX($E$18:$E$30,MATCH(AL32,$B$18:$B$30,0)),"No")="Yes",COUNTIF($C$31:$C$31,AL32)&lt;$B$6,COUNTIF($C$31:$C$31,AL32)&lt;IF($B$3="Stage 1",MIN($B$6,MAX(1,INT($B$5/$B$11))),IF(AND($B$3="Stage 3",$B$5=20,$B$11&gt;11),1,IF(AND($B$3="Stage 3",OR($B$15="Year 10-11-12 Girls"),$B$5&gt;20),MAX(2,Setup!$B$14),Setup!$B$14)))))</f>
        <v>1</v>
      </c>
      <c r="BN32" s="20" t="b">
        <f>IF(AM32="",FALSE,AND(AM32&lt;&gt;IF(AND($B$3="Stage 3",OR($B$15="Year 8 Boys",$B$15="Year 9 Boys",$B$15="Year 10-11 Boys"),$B$8="One Keeper"),$E$4,""),AM32&lt;&gt;$B32,AM32&lt;&gt;$C31,IFERROR(INDEX($E$18:$E$30,MATCH(AM32,$B$18:$B$30,0)),"No")="Yes",COUNTIF($C$31:$C$31,AM32)&lt;$B$6,COUNTIF($C$31:$C$31,AM32)&lt;IF($B$3="Stage 1",MIN($B$6,MAX(1,INT($B$5/$B$11))),IF(AND($B$3="Stage 3",$B$5=20,$B$11&gt;11),1,IF(AND($B$3="Stage 3",OR($B$15="Year 10-11-12 Girls"),$B$5&gt;20),MAX(2,Setup!$B$14),Setup!$B$14)))))</f>
        <v>1</v>
      </c>
      <c r="BO32" s="20" t="b">
        <f>IF(AN32="",FALSE,AND(AN32&lt;&gt;IF(AND($B$3="Stage 3",OR($B$15="Year 8 Boys",$B$15="Year 9 Boys",$B$15="Year 10-11 Boys"),$B$8="One Keeper"),$E$4,""),AN32&lt;&gt;$B32,AN32&lt;&gt;$C31,IFERROR(INDEX($E$18:$E$30,MATCH(AN32,$B$18:$B$30,0)),"No")="Yes",COUNTIF($C$31:$C$31,AN32)&lt;$B$6,COUNTIF($C$31:$C$31,AN32)&lt;IF($B$3="Stage 1",MIN($B$6,MAX(1,INT($B$5/$B$11))),IF(AND($B$3="Stage 3",$B$5=20,$B$11&gt;11),1,IF(AND($B$3="Stage 3",OR($B$15="Year 10-11-12 Girls"),$B$5&gt;20),MAX(2,Setup!$B$14),Setup!$B$14)))))</f>
        <v>0</v>
      </c>
      <c r="BP32" s="20" t="b">
        <f>IF(AO32="",FALSE,AND(AO32&lt;&gt;IF(AND($B$3="Stage 3",OR($B$15="Year 8 Boys",$B$15="Year 9 Boys",$B$15="Year 10-11 Boys"),$B$8="One Keeper"),$E$4,""),AO32&lt;&gt;$B32,AO32&lt;&gt;$C31,IFERROR(INDEX($E$18:$E$30,MATCH(AO32,$B$18:$B$30,0)),"No")="Yes",COUNTIF($C$31:$C$31,AO32)&lt;$B$6,COUNTIF($C$31:$C$31,AO32)&lt;IF($B$3="Stage 1",MIN($B$6,MAX(1,INT($B$5/$B$11))),IF(AND($B$3="Stage 3",$B$5=20,$B$11&gt;11),1,IF(AND($B$3="Stage 3",OR($B$15="Year 10-11-12 Girls"),$B$5&gt;20),MAX(2,Setup!$B$14),Setup!$B$14)))))</f>
        <v>1</v>
      </c>
      <c r="BQ32" s="20" t="b">
        <f>IF(AP32="",FALSE,AND(AP32&lt;&gt;IF(AND($B$3="Stage 3",OR($B$15="Year 8 Boys",$B$15="Year 9 Boys",$B$15="Year 10-11 Boys"),$B$8="One Keeper"),$E$4,""),AP32&lt;&gt;$B32,AP32&lt;&gt;$C31,IFERROR(INDEX($E$18:$E$30,MATCH(AP32,$B$18:$B$30,0)),"No")="Yes",COUNTIF($C$31:$C$31,AP32)&lt;$B$6,COUNTIF($C$31:$C$31,AP32)&lt;IF($B$3="Stage 1",MIN($B$6,MAX(1,INT($B$5/$B$11))),IF(AND($B$3="Stage 3",$B$5=20,$B$11&gt;11),1,IF(AND($B$3="Stage 3",OR($B$15="Year 10-11-12 Girls"),$B$5&gt;20),MAX(2,Setup!$B$14),Setup!$B$14)))))</f>
        <v>1</v>
      </c>
      <c r="BR32" s="20" t="b">
        <f>IF(AQ32="",FALSE,AND(AQ32&lt;&gt;IF(AND($B$3="Stage 3",OR($B$15="Year 8 Boys",$B$15="Year 9 Boys",$B$15="Year 10-11 Boys"),$B$8="One Keeper"),$E$4,""),AQ32&lt;&gt;$B32,AQ32&lt;&gt;$C31,IFERROR(INDEX($E$18:$E$30,MATCH(AQ32,$B$18:$B$30,0)),"No")="Yes",COUNTIF($C$31:$C$31,AQ32)&lt;$B$6,COUNTIF($C$31:$C$31,AQ32)&lt;IF($B$3="Stage 1",MIN($B$6,MAX(1,INT($B$5/$B$11))),IF(AND($B$3="Stage 3",$B$5=20,$B$11&gt;11),1,IF(AND($B$3="Stage 3",OR($B$15="Year 10-11-12 Girls"),$B$5&gt;20),MAX(2,Setup!$B$14),Setup!$B$14)))))</f>
        <v>1</v>
      </c>
      <c r="BS32" s="20" t="b">
        <f>IF(AR32="",FALSE,AND(AR32&lt;&gt;IF(AND($B$3="Stage 3",OR($B$15="Year 8 Boys",$B$15="Year 9 Boys",$B$15="Year 10-11 Boys"),$B$8="One Keeper"),$E$4,""),AR32&lt;&gt;$B32,AR32&lt;&gt;$C31,IFERROR(INDEX($E$18:$E$30,MATCH(AR32,$B$18:$B$30,0)),"No")="Yes",COUNTIF($C$31:$C$31,AR32)&lt;$B$6,COUNTIF($C$31:$C$31,AR32)&lt;IF($B$3="Stage 1",MIN($B$6,MAX(1,INT($B$5/$B$11))),IF(AND($B$3="Stage 3",$B$5=20,$B$11&gt;11),1,IF(AND($B$3="Stage 3",OR($B$15="Year 10-11-12 Girls"),$B$5&gt;20),MAX(2,Setup!$B$14),Setup!$B$14)))))</f>
        <v>1</v>
      </c>
      <c r="BT32" s="20" t="b">
        <f>IF(AS32="",FALSE,AND(AS32&lt;&gt;IF(AND($B$3="Stage 3",OR($B$15="Year 8 Boys",$B$15="Year 9 Boys",$B$15="Year 10-11 Boys"),$B$8="One Keeper"),$E$4,""),AS32&lt;&gt;$B32,AS32&lt;&gt;$C31,IFERROR(INDEX($E$18:$E$30,MATCH(AS32,$B$18:$B$30,0)),"No")="Yes",COUNTIF($C$31:$C$31,AS32)&lt;$B$6,COUNTIF($C$31:$C$31,AS32)&lt;IF($B$3="Stage 1",MIN($B$6,MAX(1,INT($B$5/$B$11))),IF(AND($B$3="Stage 3",$B$5=20,$B$11&gt;11),1,IF(AND($B$3="Stage 3",OR($B$15="Year 10-11-12 Girls"),$B$5&gt;20),MAX(2,Setup!$B$14),Setup!$B$14)))))</f>
        <v>1</v>
      </c>
      <c r="BU32" s="20" t="b">
        <f>IF(AT32="",FALSE,AND(AT32&lt;&gt;IF(AND($B$3="Stage 3",OR($B$15="Year 8 Boys",$B$15="Year 9 Boys",$B$15="Year 10-11 Boys"),$B$8="One Keeper"),$E$4,""),AT32&lt;&gt;$B32,AT32&lt;&gt;$C31,IFERROR(INDEX($E$18:$E$30,MATCH(AT32,$B$18:$B$30,0)),"No")="Yes",COUNTIF($C$31:$C$31,AT32)&lt;$B$6,COUNTIF($C$31:$C$31,AT32)&lt;IF($B$3="Stage 1",MIN($B$6,MAX(1,INT($B$5/$B$11))),IF(AND($B$3="Stage 3",$B$5=20,$B$11&gt;11),1,IF(AND($B$3="Stage 3",OR($B$15="Year 10-11-12 Girls"),$B$5&gt;20),MAX(2,Setup!$B$14),Setup!$B$14)))))</f>
        <v>1</v>
      </c>
      <c r="BV32" s="20" t="b">
        <f>IF(AU32="",FALSE,AND(AU32&lt;&gt;IF(AND($B$3="Stage 3",OR($B$15="Year 8 Boys",$B$15="Year 9 Boys",$B$15="Year 10-11 Boys"),$B$8="One Keeper"),$E$4,""),AU32&lt;&gt;$B32,AU32&lt;&gt;$C31,IFERROR(INDEX($E$18:$E$30,MATCH(AU32,$B$18:$B$30,0)),"No")="Yes",COUNTIF($C$31:$C$31,AU32)&lt;$B$6,COUNTIF($C$31:$C$31,AU32)&lt;IF($B$3="Stage 1",MIN($B$6,MAX(1,INT($B$5/$B$11))),IF(AND($B$3="Stage 3",$B$5=20,$B$11&gt;11),1,IF(AND($B$3="Stage 3",OR($B$15="Year 10-11-12 Girls"),$B$5&gt;20),MAX(2,Setup!$B$14),Setup!$B$14)))))</f>
        <v>0</v>
      </c>
      <c r="BW32" s="20"/>
      <c r="BX32" s="20"/>
      <c r="BY32" s="20"/>
      <c r="BZ32" s="20"/>
      <c r="CA32" s="20"/>
      <c r="CB32" s="20"/>
      <c r="CC32" s="20"/>
      <c r="CD32" s="20"/>
      <c r="CE32" s="20"/>
      <c r="CF32" s="20"/>
      <c r="CG32" s="20"/>
      <c r="CH32" s="20"/>
      <c r="CI32" s="20"/>
      <c r="CJ32" s="20"/>
      <c r="CK32" s="20"/>
    </row>
    <row r="33" spans="1:89" ht="26.4" customHeight="1">
      <c r="A33" s="18">
        <v>2</v>
      </c>
      <c r="B33" s="18" t="str">
        <f t="shared" si="5"/>
        <v>Player 1</v>
      </c>
      <c r="C33" s="18" t="str">
        <f t="shared" si="6"/>
        <v>Player 2</v>
      </c>
      <c r="D33" s="18">
        <f t="shared" si="7"/>
        <v>7</v>
      </c>
      <c r="E33" s="18">
        <f>IF($C33="","",COUNTIF($C$32:C33,$C33))</f>
        <v>1</v>
      </c>
      <c r="F33" s="18" t="str">
        <f t="shared" si="8"/>
        <v/>
      </c>
      <c r="H33" s="18" t="str">
        <f t="shared" si="9"/>
        <v>Player 2</v>
      </c>
      <c r="I33" s="18">
        <f t="shared" si="10"/>
        <v>2</v>
      </c>
      <c r="J33" s="18" t="str">
        <f t="shared" si="11"/>
        <v>OK</v>
      </c>
      <c r="K33" s="18" t="str">
        <f>IF($H33="","",IF($B$3="Stage 1","",IF($B$10="Finals","Finals",IF($B$3="Stage 2",IF($B$5=20,IF($B$11=11,IF($I33&gt;=1,"OK","Needs 1+"),IF($I33&gt;=2,"OK","Needs 2")),IF($B$5=30,IF($I33&gt;=2,"OK","Needs 2"),IF($I33&gt;=Setup!$B$14,"OK","Below target"))),IF($B$3="Stage 3",IF(OR($B$15="Year 8 Boys",$B$15="Year 9 Boys",$B$15="Year 10-11 Boys"),"Team rule",IF($B$5=20,IF($B$11&gt;10,IF($I33&gt;=1,"OK","Needs 1+"),IF($I33&gt;=2,"OK","Needs 2")),IF($I33&gt;=MAX(2,Setup!$B$14),"OK","Needs "&amp;MAX(2,Setup!$B$14)))),"")))))</f>
        <v/>
      </c>
      <c r="L33" s="18" t="str">
        <f t="shared" si="12"/>
        <v>Yes</v>
      </c>
      <c r="M33" s="18" t="str">
        <f t="shared" si="13"/>
        <v/>
      </c>
      <c r="N33" s="18" t="str">
        <f t="shared" si="14"/>
        <v/>
      </c>
      <c r="T33" s="20">
        <f t="shared" si="15"/>
        <v>2</v>
      </c>
      <c r="U33" s="20" t="b">
        <f>IF(OR($B$3="Stage 2",AND($B$3="Stage 3",OR($B$15="Year 10-11-12 Girls"))),(IF(AND($P$18&lt;&gt;"",$P$18&lt;&gt;$E$4,COUNTIF($C$32:$C32,$P$18)&gt;=2),1,0)+IF(AND($P$19&lt;&gt;"",$P$19&lt;&gt;$E$4,COUNTIF($C$32:$C32,$P$19)&gt;=2),1,0)+IF(AND($P$20&lt;&gt;"",$P$20&lt;&gt;$E$4,COUNTIF($C$32:$C32,$P$20)&gt;=2),1,0)+IF(AND($P$21&lt;&gt;"",$P$21&lt;&gt;$E$4,COUNTIF($C$32:$C32,$P$21)&gt;=2),1,0)+IF(AND($P$22&lt;&gt;"",$P$22&lt;&gt;$E$4,COUNTIF($C$32:$C32,$P$22)&gt;=2),1,0)+IF(AND($P$23&lt;&gt;"",$P$23&lt;&gt;$E$4,COUNTIF($C$32:$C32,$P$23)&gt;=2),1,0)+IF(AND($P$24&lt;&gt;"",$P$24&lt;&gt;$E$4,COUNTIF($C$32:$C32,$P$24)&gt;=2),1,0)+IF(AND($P$25&lt;&gt;"",$P$25&lt;&gt;$E$4,COUNTIF($C$32:$C32,$P$25)&gt;=2),1,0)+IF(AND($P$26&lt;&gt;"",$P$26&lt;&gt;$E$4,COUNTIF($C$32:$C32,$P$26)&gt;=2),1,0)+IF(AND($P$27&lt;&gt;"",$P$27&lt;&gt;$E$4,COUNTIF($C$32:$C32,$P$27)&gt;=2),1,0)+IF(AND($P$28&lt;&gt;"",$P$28&lt;&gt;$E$4,COUNTIF($C$32:$C32,$P$28)&gt;=2),1,0)+IF(AND($P$29&lt;&gt;"",$P$29&lt;&gt;$E$4,COUNTIF($C$32:$C32,$P$29)&gt;=2),1,0)+IF(AND($P$30&lt;&gt;"",$P$30&lt;&gt;$E$4,COUNTIF($C$32:$C32,$P$30)&gt;=2),1,0))&gt;=MAX(0,$B$11-1),IF(AND($B$3="Stage 3",OR($B$15="Year 8 Boys",$B$15="Year 9 Boys",$B$15="Year 10-11 Boys")),(IF(AND($P$18&lt;&gt;"",COUNTIF($C$32:$C32,$P$18)&gt;=2),1,0)+IF(AND($P$19&lt;&gt;"",COUNTIF($C$32:$C32,$P$19)&gt;=2),1,0)+IF(AND($P$20&lt;&gt;"",COUNTIF($C$32:$C32,$P$20)&gt;=2),1,0)+IF(AND($P$21&lt;&gt;"",COUNTIF($C$32:$C32,$P$21)&gt;=2),1,0)+IF(AND($P$22&lt;&gt;"",COUNTIF($C$32:$C32,$P$22)&gt;=2),1,0)+IF(AND($P$23&lt;&gt;"",COUNTIF($C$32:$C32,$P$23)&gt;=2),1,0)+IF(AND($P$24&lt;&gt;"",COUNTIF($C$32:$C32,$P$24)&gt;=2),1,0)+IF(AND($P$25&lt;&gt;"",COUNTIF($C$32:$C32,$P$25)&gt;=2),1,0)+IF(AND($P$26&lt;&gt;"",COUNTIF($C$32:$C32,$P$26)&gt;=2),1,0)+IF(AND($P$27&lt;&gt;"",COUNTIF($C$32:$C32,$P$27)&gt;=2),1,0)+IF(AND($P$28&lt;&gt;"",COUNTIF($C$32:$C32,$P$28)&gt;=2),1,0)+IF(AND($P$29&lt;&gt;"",COUNTIF($C$32:$C32,$P$29)&gt;=2),1,0)+IF(AND($P$30&lt;&gt;"",COUNTIF($C$32:$C32,$P$30)&gt;=2),1,0))&gt;=7,TRUE))</f>
        <v>1</v>
      </c>
      <c r="V33" s="20">
        <f t="shared" si="16"/>
        <v>2</v>
      </c>
      <c r="W33" s="20">
        <f t="shared" si="16"/>
        <v>3</v>
      </c>
      <c r="X33" s="20">
        <f t="shared" si="16"/>
        <v>4</v>
      </c>
      <c r="Y33" s="20">
        <f t="shared" si="16"/>
        <v>5</v>
      </c>
      <c r="Z33" s="20">
        <f t="shared" si="16"/>
        <v>6</v>
      </c>
      <c r="AA33" s="20">
        <f t="shared" si="16"/>
        <v>7</v>
      </c>
      <c r="AB33" s="20">
        <f t="shared" si="16"/>
        <v>1</v>
      </c>
      <c r="AC33" s="20">
        <f t="shared" si="16"/>
        <v>2</v>
      </c>
      <c r="AD33" s="20">
        <f t="shared" si="16"/>
        <v>3</v>
      </c>
      <c r="AE33" s="20">
        <f t="shared" si="16"/>
        <v>4</v>
      </c>
      <c r="AF33" s="20">
        <f t="shared" si="16"/>
        <v>5</v>
      </c>
      <c r="AG33" s="20">
        <f t="shared" si="16"/>
        <v>6</v>
      </c>
      <c r="AH33" s="20">
        <f t="shared" si="16"/>
        <v>7</v>
      </c>
      <c r="AI33" s="20" t="str">
        <f t="shared" si="17"/>
        <v>Player 4</v>
      </c>
      <c r="AJ33" s="20" t="str">
        <f t="shared" si="18"/>
        <v>Player 5</v>
      </c>
      <c r="AK33" s="20" t="str">
        <f t="shared" si="19"/>
        <v>Player 6</v>
      </c>
      <c r="AL33" s="20" t="str">
        <f t="shared" si="20"/>
        <v>Player 7</v>
      </c>
      <c r="AM33" s="20" t="str">
        <f t="shared" si="21"/>
        <v>Player 1</v>
      </c>
      <c r="AN33" s="20" t="str">
        <f t="shared" si="22"/>
        <v>Player 2</v>
      </c>
      <c r="AO33" s="20" t="str">
        <f t="shared" si="23"/>
        <v>Player 3</v>
      </c>
      <c r="AP33" s="20" t="str">
        <f t="shared" si="24"/>
        <v>Player 4</v>
      </c>
      <c r="AQ33" s="20" t="str">
        <f t="shared" si="25"/>
        <v>Player 5</v>
      </c>
      <c r="AR33" s="20" t="str">
        <f t="shared" si="26"/>
        <v>Player 6</v>
      </c>
      <c r="AS33" s="20" t="str">
        <f t="shared" si="27"/>
        <v>Player 7</v>
      </c>
      <c r="AT33" s="20" t="str">
        <f t="shared" si="28"/>
        <v>Player 1</v>
      </c>
      <c r="AU33" s="20" t="str">
        <f t="shared" si="29"/>
        <v>Player 2</v>
      </c>
      <c r="AV33" s="20" t="b">
        <f>IF(AI33="",FALSE,AND(AI33&lt;&gt;$B33,AI33&lt;&gt;$C32,IFERROR(INDEX($E$18:$E$30,MATCH(AI33,$B$18:$B$30,0)),"No")="Yes",IF(AND(OR($B$3="Stage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Girls"))),$B$5&gt;20),MIN(3,MAX(2,Setup!$B$14)),2))*2),AI33=$E$5,IF(AND(OR($B$3="Stage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Girls"))),$B$5&gt;20),MIN(3,MAX(2,Setup!$B$14)),2))*2-1))),AI33=$E$4,TRUE)),COUNTIF($C$32:$C32,AI33)&lt;$B$6,IF($BI33,COUNTIF($C$32:$C32,AI33)&lt;IF($B$3="Stage 1",MIN($B$6,MAX(1,INT($B$5/$B$11))),IF(AND($B$3="Stage 3",$B$5=20,$B$11&gt;11),1,IF(AND($B$3="Stage 3",OR($B$15="Year 10-11-12 Girls"),$B$5&gt;20),MAX(2,Setup!$B$14),Setup!$B$14))),IF(AND($B$3&lt;&gt;"Stage 2",$B$3&lt;&gt;"Stage 3"),TRUE,IF($U33,TRUE,COUNTIF($C$32:$C32,AI33)&lt;IF(AND($B$3="Stage 2",$B$5=20,AI33=$E$5,$A33&lt;=IF($B$8="One Keeper",$B$5,$B$8)),2,IF(AND(OR($B$3="Stage 2",AND($B$3="Stage 3",OR($B$15="Year 10-11-12 Girls"))),AI33=$E$5,$A33&lt;=IF($B$8="One Keeper",$B$5,$B$8)),3,$B$9)))))))</f>
        <v>0</v>
      </c>
      <c r="AW33" s="20" t="b">
        <f>IF(AJ33="",FALSE,AND(AJ33&lt;&gt;$B33,AJ33&lt;&gt;$C32,IFERROR(INDEX($E$18:$E$30,MATCH(AJ33,$B$18:$B$30,0)),"No")="Yes",IF(AND(OR($B$3="Stage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Girls"))),$B$5&gt;20),MIN(3,MAX(2,Setup!$B$14)),2))*2),AJ33=$E$5,IF(AND(OR($B$3="Stage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Girls"))),$B$5&gt;20),MIN(3,MAX(2,Setup!$B$14)),2))*2-1))),AJ33=$E$4,TRUE)),COUNTIF($C$32:$C32,AJ33)&lt;$B$6,IF($BI33,COUNTIF($C$32:$C32,AJ33)&lt;IF($B$3="Stage 1",MIN($B$6,MAX(1,INT($B$5/$B$11))),IF(AND($B$3="Stage 3",$B$5=20,$B$11&gt;11),1,IF(AND($B$3="Stage 3",OR($B$15="Year 10-11-12 Girls"),$B$5&gt;20),MAX(2,Setup!$B$14),Setup!$B$14))),IF(AND($B$3&lt;&gt;"Stage 2",$B$3&lt;&gt;"Stage 3"),TRUE,IF($U33,TRUE,COUNTIF($C$32:$C32,AJ33)&lt;IF(AND($B$3="Stage 2",$B$5=20,AJ33=$E$5,$A33&lt;=IF($B$8="One Keeper",$B$5,$B$8)),2,IF(AND(OR($B$3="Stage 2",AND($B$3="Stage 3",OR($B$15="Year 10-11-12 Girls"))),AJ33=$E$5,$A33&lt;=IF($B$8="One Keeper",$B$5,$B$8)),3,$B$9)))))))</f>
        <v>0</v>
      </c>
      <c r="AX33" s="20" t="b">
        <f>IF(AK33="",FALSE,AND(AK33&lt;&gt;$B33,AK33&lt;&gt;$C32,IFERROR(INDEX($E$18:$E$30,MATCH(AK33,$B$18:$B$30,0)),"No")="Yes",IF(AND(OR($B$3="Stage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Girls"))),$B$5&gt;20),MIN(3,MAX(2,Setup!$B$14)),2))*2),AK33=$E$5,IF(AND(OR($B$3="Stage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Girls"))),$B$5&gt;20),MIN(3,MAX(2,Setup!$B$14)),2))*2-1))),AK33=$E$4,TRUE)),COUNTIF($C$32:$C32,AK33)&lt;$B$6,IF($BI33,COUNTIF($C$32:$C32,AK33)&lt;IF($B$3="Stage 1",MIN($B$6,MAX(1,INT($B$5/$B$11))),IF(AND($B$3="Stage 3",$B$5=20,$B$11&gt;11),1,IF(AND($B$3="Stage 3",OR($B$15="Year 10-11-12 Girls"),$B$5&gt;20),MAX(2,Setup!$B$14),Setup!$B$14))),IF(AND($B$3&lt;&gt;"Stage 2",$B$3&lt;&gt;"Stage 3"),TRUE,IF($U33,TRUE,COUNTIF($C$32:$C32,AK33)&lt;IF(AND($B$3="Stage 2",$B$5=20,AK33=$E$5,$A33&lt;=IF($B$8="One Keeper",$B$5,$B$8)),2,IF(AND(OR($B$3="Stage 2",AND($B$3="Stage 3",OR($B$15="Year 10-11-12 Girls"))),AK33=$E$5,$A33&lt;=IF($B$8="One Keeper",$B$5,$B$8)),3,$B$9)))))))</f>
        <v>0</v>
      </c>
      <c r="AY33" s="20" t="b">
        <f>IF(AL33="",FALSE,AND(AL33&lt;&gt;$B33,AL33&lt;&gt;$C32,IFERROR(INDEX($E$18:$E$30,MATCH(AL33,$B$18:$B$30,0)),"No")="Yes",IF(AND(OR($B$3="Stage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Girls"))),$B$5&gt;20),MIN(3,MAX(2,Setup!$B$14)),2))*2),AL33=$E$5,IF(AND(OR($B$3="Stage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Girls"))),$B$5&gt;20),MIN(3,MAX(2,Setup!$B$14)),2))*2-1))),AL33=$E$4,TRUE)),COUNTIF($C$32:$C32,AL33)&lt;$B$6,IF($BI33,COUNTIF($C$32:$C32,AL33)&lt;IF($B$3="Stage 1",MIN($B$6,MAX(1,INT($B$5/$B$11))),IF(AND($B$3="Stage 3",$B$5=20,$B$11&gt;11),1,IF(AND($B$3="Stage 3",OR($B$15="Year 10-11-12 Girls"),$B$5&gt;20),MAX(2,Setup!$B$14),Setup!$B$14))),IF(AND($B$3&lt;&gt;"Stage 2",$B$3&lt;&gt;"Stage 3"),TRUE,IF($U33,TRUE,COUNTIF($C$32:$C32,AL33)&lt;IF(AND($B$3="Stage 2",$B$5=20,AL33=$E$5,$A33&lt;=IF($B$8="One Keeper",$B$5,$B$8)),2,IF(AND(OR($B$3="Stage 2",AND($B$3="Stage 3",OR($B$15="Year 10-11-12 Girls"))),AL33=$E$5,$A33&lt;=IF($B$8="One Keeper",$B$5,$B$8)),3,$B$9)))))))</f>
        <v>0</v>
      </c>
      <c r="AZ33" s="20" t="b">
        <f>IF(AM33="",FALSE,AND(AM33&lt;&gt;$B33,AM33&lt;&gt;$C32,IFERROR(INDEX($E$18:$E$30,MATCH(AM33,$B$18:$B$30,0)),"No")="Yes",IF(AND(OR($B$3="Stage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Girls"))),$B$5&gt;20),MIN(3,MAX(2,Setup!$B$14)),2))*2),AM33=$E$5,IF(AND(OR($B$3="Stage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Girls"))),$B$5&gt;20),MIN(3,MAX(2,Setup!$B$14)),2))*2-1))),AM33=$E$4,TRUE)),COUNTIF($C$32:$C32,AM33)&lt;$B$6,IF($BI33,COUNTIF($C$32:$C32,AM33)&lt;IF($B$3="Stage 1",MIN($B$6,MAX(1,INT($B$5/$B$11))),IF(AND($B$3="Stage 3",$B$5=20,$B$11&gt;11),1,IF(AND($B$3="Stage 3",OR($B$15="Year 10-11-12 Girls"),$B$5&gt;20),MAX(2,Setup!$B$14),Setup!$B$14))),IF(AND($B$3&lt;&gt;"Stage 2",$B$3&lt;&gt;"Stage 3"),TRUE,IF($U33,TRUE,COUNTIF($C$32:$C32,AM33)&lt;IF(AND($B$3="Stage 2",$B$5=20,AM33=$E$5,$A33&lt;=IF($B$8="One Keeper",$B$5,$B$8)),2,IF(AND(OR($B$3="Stage 2",AND($B$3="Stage 3",OR($B$15="Year 10-11-12 Girls"))),AM33=$E$5,$A33&lt;=IF($B$8="One Keeper",$B$5,$B$8)),3,$B$9)))))))</f>
        <v>0</v>
      </c>
      <c r="BA33" s="20" t="b">
        <f>IF(AN33="",FALSE,AND(AN33&lt;&gt;$B33,AN33&lt;&gt;$C32,IFERROR(INDEX($E$18:$E$30,MATCH(AN33,$B$18:$B$30,0)),"No")="Yes",IF(AND(OR($B$3="Stage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Girls"))),$B$5&gt;20),MIN(3,MAX(2,Setup!$B$14)),2))*2),AN33=$E$5,IF(AND(OR($B$3="Stage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Girls"))),$B$5&gt;20),MIN(3,MAX(2,Setup!$B$14)),2))*2-1))),AN33=$E$4,TRUE)),COUNTIF($C$32:$C32,AN33)&lt;$B$6,IF($BI33,COUNTIF($C$32:$C32,AN33)&lt;IF($B$3="Stage 1",MIN($B$6,MAX(1,INT($B$5/$B$11))),IF(AND($B$3="Stage 3",$B$5=20,$B$11&gt;11),1,IF(AND($B$3="Stage 3",OR($B$15="Year 10-11-12 Girls"),$B$5&gt;20),MAX(2,Setup!$B$14),Setup!$B$14))),IF(AND($B$3&lt;&gt;"Stage 2",$B$3&lt;&gt;"Stage 3"),TRUE,IF($U33,TRUE,COUNTIF($C$32:$C32,AN33)&lt;IF(AND($B$3="Stage 2",$B$5=20,AN33=$E$5,$A33&lt;=IF($B$8="One Keeper",$B$5,$B$8)),2,IF(AND(OR($B$3="Stage 2",AND($B$3="Stage 3",OR($B$15="Year 10-11-12 Girls"))),AN33=$E$5,$A33&lt;=IF($B$8="One Keeper",$B$5,$B$8)),3,$B$9)))))))</f>
        <v>1</v>
      </c>
      <c r="BB33" s="20" t="b">
        <f>IF(AO33="",FALSE,AND(AO33&lt;&gt;$B33,AO33&lt;&gt;$C32,IFERROR(INDEX($E$18:$E$30,MATCH(AO33,$B$18:$B$30,0)),"No")="Yes",IF(AND(OR($B$3="Stage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Girls"))),$B$5&gt;20),MIN(3,MAX(2,Setup!$B$14)),2))*2),AO33=$E$5,IF(AND(OR($B$3="Stage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Girls"))),$B$5&gt;20),MIN(3,MAX(2,Setup!$B$14)),2))*2-1))),AO33=$E$4,TRUE)),COUNTIF($C$32:$C32,AO33)&lt;$B$6,IF($BI33,COUNTIF($C$32:$C32,AO33)&lt;IF($B$3="Stage 1",MIN($B$6,MAX(1,INT($B$5/$B$11))),IF(AND($B$3="Stage 3",$B$5=20,$B$11&gt;11),1,IF(AND($B$3="Stage 3",OR($B$15="Year 10-11-12 Girls"),$B$5&gt;20),MAX(2,Setup!$B$14),Setup!$B$14))),IF(AND($B$3&lt;&gt;"Stage 2",$B$3&lt;&gt;"Stage 3"),TRUE,IF($U33,TRUE,COUNTIF($C$32:$C32,AO33)&lt;IF(AND($B$3="Stage 2",$B$5=20,AO33=$E$5,$A33&lt;=IF($B$8="One Keeper",$B$5,$B$8)),2,IF(AND(OR($B$3="Stage 2",AND($B$3="Stage 3",OR($B$15="Year 10-11-12 Girls"))),AO33=$E$5,$A33&lt;=IF($B$8="One Keeper",$B$5,$B$8)),3,$B$9)))))))</f>
        <v>0</v>
      </c>
      <c r="BC33" s="20" t="b">
        <f>IF(AP33="",FALSE,AND(AP33&lt;&gt;$B33,AP33&lt;&gt;$C32,IFERROR(INDEX($E$18:$E$30,MATCH(AP33,$B$18:$B$30,0)),"No")="Yes",IF(AND(OR($B$3="Stage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Girls"))),$B$5&gt;20),MIN(3,MAX(2,Setup!$B$14)),2))*2),AP33=$E$5,IF(AND(OR($B$3="Stage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Girls"))),$B$5&gt;20),MIN(3,MAX(2,Setup!$B$14)),2))*2-1))),AP33=$E$4,TRUE)),COUNTIF($C$32:$C32,AP33)&lt;$B$6,IF($BI33,COUNTIF($C$32:$C32,AP33)&lt;IF($B$3="Stage 1",MIN($B$6,MAX(1,INT($B$5/$B$11))),IF(AND($B$3="Stage 3",$B$5=20,$B$11&gt;11),1,IF(AND($B$3="Stage 3",OR($B$15="Year 10-11-12 Girls"),$B$5&gt;20),MAX(2,Setup!$B$14),Setup!$B$14))),IF(AND($B$3&lt;&gt;"Stage 2",$B$3&lt;&gt;"Stage 3"),TRUE,IF($U33,TRUE,COUNTIF($C$32:$C32,AP33)&lt;IF(AND($B$3="Stage 2",$B$5=20,AP33=$E$5,$A33&lt;=IF($B$8="One Keeper",$B$5,$B$8)),2,IF(AND(OR($B$3="Stage 2",AND($B$3="Stage 3",OR($B$15="Year 10-11-12 Girls"))),AP33=$E$5,$A33&lt;=IF($B$8="One Keeper",$B$5,$B$8)),3,$B$9)))))))</f>
        <v>0</v>
      </c>
      <c r="BD33" s="20" t="b">
        <f>IF(AQ33="",FALSE,AND(AQ33&lt;&gt;$B33,AQ33&lt;&gt;$C32,IFERROR(INDEX($E$18:$E$30,MATCH(AQ33,$B$18:$B$30,0)),"No")="Yes",IF(AND(OR($B$3="Stage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Girls"))),$B$5&gt;20),MIN(3,MAX(2,Setup!$B$14)),2))*2),AQ33=$E$5,IF(AND(OR($B$3="Stage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Girls"))),$B$5&gt;20),MIN(3,MAX(2,Setup!$B$14)),2))*2-1))),AQ33=$E$4,TRUE)),COUNTIF($C$32:$C32,AQ33)&lt;$B$6,IF($BI33,COUNTIF($C$32:$C32,AQ33)&lt;IF($B$3="Stage 1",MIN($B$6,MAX(1,INT($B$5/$B$11))),IF(AND($B$3="Stage 3",$B$5=20,$B$11&gt;11),1,IF(AND($B$3="Stage 3",OR($B$15="Year 10-11-12 Girls"),$B$5&gt;20),MAX(2,Setup!$B$14),Setup!$B$14))),IF(AND($B$3&lt;&gt;"Stage 2",$B$3&lt;&gt;"Stage 3"),TRUE,IF($U33,TRUE,COUNTIF($C$32:$C32,AQ33)&lt;IF(AND($B$3="Stage 2",$B$5=20,AQ33=$E$5,$A33&lt;=IF($B$8="One Keeper",$B$5,$B$8)),2,IF(AND(OR($B$3="Stage 2",AND($B$3="Stage 3",OR($B$15="Year 10-11-12 Girls"))),AQ33=$E$5,$A33&lt;=IF($B$8="One Keeper",$B$5,$B$8)),3,$B$9)))))))</f>
        <v>0</v>
      </c>
      <c r="BE33" s="20" t="b">
        <f>IF(AR33="",FALSE,AND(AR33&lt;&gt;$B33,AR33&lt;&gt;$C32,IFERROR(INDEX($E$18:$E$30,MATCH(AR33,$B$18:$B$30,0)),"No")="Yes",IF(AND(OR($B$3="Stage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Girls"))),$B$5&gt;20),MIN(3,MAX(2,Setup!$B$14)),2))*2),AR33=$E$5,IF(AND(OR($B$3="Stage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Girls"))),$B$5&gt;20),MIN(3,MAX(2,Setup!$B$14)),2))*2-1))),AR33=$E$4,TRUE)),COUNTIF($C$32:$C32,AR33)&lt;$B$6,IF($BI33,COUNTIF($C$32:$C32,AR33)&lt;IF($B$3="Stage 1",MIN($B$6,MAX(1,INT($B$5/$B$11))),IF(AND($B$3="Stage 3",$B$5=20,$B$11&gt;11),1,IF(AND($B$3="Stage 3",OR($B$15="Year 10-11-12 Girls"),$B$5&gt;20),MAX(2,Setup!$B$14),Setup!$B$14))),IF(AND($B$3&lt;&gt;"Stage 2",$B$3&lt;&gt;"Stage 3"),TRUE,IF($U33,TRUE,COUNTIF($C$32:$C32,AR33)&lt;IF(AND($B$3="Stage 2",$B$5=20,AR33=$E$5,$A33&lt;=IF($B$8="One Keeper",$B$5,$B$8)),2,IF(AND(OR($B$3="Stage 2",AND($B$3="Stage 3",OR($B$15="Year 10-11-12 Girls"))),AR33=$E$5,$A33&lt;=IF($B$8="One Keeper",$B$5,$B$8)),3,$B$9)))))))</f>
        <v>0</v>
      </c>
      <c r="BF33" s="20" t="b">
        <f>IF(AS33="",FALSE,AND(AS33&lt;&gt;$B33,AS33&lt;&gt;$C32,IFERROR(INDEX($E$18:$E$30,MATCH(AS33,$B$18:$B$30,0)),"No")="Yes",IF(AND(OR($B$3="Stage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Girls"))),$B$5&gt;20),MIN(3,MAX(2,Setup!$B$14)),2))*2),AS33=$E$5,IF(AND(OR($B$3="Stage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Girls"))),$B$5&gt;20),MIN(3,MAX(2,Setup!$B$14)),2))*2-1))),AS33=$E$4,TRUE)),COUNTIF($C$32:$C32,AS33)&lt;$B$6,IF($BI33,COUNTIF($C$32:$C32,AS33)&lt;IF($B$3="Stage 1",MIN($B$6,MAX(1,INT($B$5/$B$11))),IF(AND($B$3="Stage 3",$B$5=20,$B$11&gt;11),1,IF(AND($B$3="Stage 3",OR($B$15="Year 10-11-12 Girls"),$B$5&gt;20),MAX(2,Setup!$B$14),Setup!$B$14))),IF(AND($B$3&lt;&gt;"Stage 2",$B$3&lt;&gt;"Stage 3"),TRUE,IF($U33,TRUE,COUNTIF($C$32:$C32,AS33)&lt;IF(AND($B$3="Stage 2",$B$5=20,AS33=$E$5,$A33&lt;=IF($B$8="One Keeper",$B$5,$B$8)),2,IF(AND(OR($B$3="Stage 2",AND($B$3="Stage 3",OR($B$15="Year 10-11-12 Girls"))),AS33=$E$5,$A33&lt;=IF($B$8="One Keeper",$B$5,$B$8)),3,$B$9)))))))</f>
        <v>0</v>
      </c>
      <c r="BG33" s="20" t="b">
        <f>IF(AT33="",FALSE,AND(AT33&lt;&gt;$B33,AT33&lt;&gt;$C32,IFERROR(INDEX($E$18:$E$30,MATCH(AT33,$B$18:$B$30,0)),"No")="Yes",IF(AND(OR($B$3="Stage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Girls"))),$B$5&gt;20),MIN(3,MAX(2,Setup!$B$14)),2))*2),AT33=$E$5,IF(AND(OR($B$3="Stage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Girls"))),$B$5&gt;20),MIN(3,MAX(2,Setup!$B$14)),2))*2-1))),AT33=$E$4,TRUE)),COUNTIF($C$32:$C32,AT33)&lt;$B$6,IF($BI33,COUNTIF($C$32:$C32,AT33)&lt;IF($B$3="Stage 1",MIN($B$6,MAX(1,INT($B$5/$B$11))),IF(AND($B$3="Stage 3",$B$5=20,$B$11&gt;11),1,IF(AND($B$3="Stage 3",OR($B$15="Year 10-11-12 Girls"),$B$5&gt;20),MAX(2,Setup!$B$14),Setup!$B$14))),IF(AND($B$3&lt;&gt;"Stage 2",$B$3&lt;&gt;"Stage 3"),TRUE,IF($U33,TRUE,COUNTIF($C$32:$C32,AT33)&lt;IF(AND($B$3="Stage 2",$B$5=20,AT33=$E$5,$A33&lt;=IF($B$8="One Keeper",$B$5,$B$8)),2,IF(AND(OR($B$3="Stage 2",AND($B$3="Stage 3",OR($B$15="Year 10-11-12 Girls"))),AT33=$E$5,$A33&lt;=IF($B$8="One Keeper",$B$5,$B$8)),3,$B$9)))))))</f>
        <v>0</v>
      </c>
      <c r="BH33" s="20" t="b">
        <f>IF(AU33="",FALSE,AND(AU33&lt;&gt;$B33,AU33&lt;&gt;$C32,IFERROR(INDEX($E$18:$E$30,MATCH(AU33,$B$18:$B$30,0)),"No")="Yes",IF(AND(OR($B$3="Stage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Girls"))),$B$5&gt;20),MIN(3,MAX(2,Setup!$B$14)),2))*2),AU33=$E$5,IF(AND(OR($B$3="Stage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Girls"))),$B$5&gt;20),MIN(3,MAX(2,Setup!$B$14)),2))*2-1))),AU33=$E$4,TRUE)),COUNTIF($C$32:$C32,AU33)&lt;$B$6,IF($BI33,COUNTIF($C$32:$C32,AU33)&lt;IF($B$3="Stage 1",MIN($B$6,MAX(1,INT($B$5/$B$11))),IF(AND($B$3="Stage 3",$B$5=20,$B$11&gt;11),1,IF(AND($B$3="Stage 3",OR($B$15="Year 10-11-12 Girls"),$B$5&gt;20),MAX(2,Setup!$B$14),Setup!$B$14))),IF(AND($B$3&lt;&gt;"Stage 2",$B$3&lt;&gt;"Stage 3"),TRUE,IF($U33,TRUE,COUNTIF($C$32:$C32,AU33)&lt;IF(AND($B$3="Stage 2",$B$5=20,AU33=$E$5,$A33&lt;=IF($B$8="One Keeper",$B$5,$B$8)),2,IF(AND(OR($B$3="Stage 2",AND($B$3="Stage 3",OR($B$15="Year 10-11-12 Girls"))),AU33=$E$5,$A33&lt;=IF($B$8="One Keeper",$B$5,$B$8)),3,$B$9)))))))</f>
        <v>1</v>
      </c>
      <c r="BI33"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Keeper",$E$4&lt;&gt;$E$5,$A33&lt;=IF($B$8="One Keeper",$B$5,$B$8),COUNTIF($C$32:$C32,$E$5)&lt;IF(AND($B$3="Stage 3",$B$5=20,$B$11&gt;11),1,IF(AND(OR($B$3="Stage 2",AND($B$3="Stage 3",OR($B$15="Year 10-11-12 Girls"))),$B$5&gt;20),MIN(3,MAX(2,Setup!$B$14)),2)),IFERROR(INDEX($E$18:$E$30,MATCH($E$5,$B$18:$B$30,0)),"No")="Yes",$C32&lt;&gt;$E$5,MOD($A33,2)=0,$A33&lt;=IF(AND($B$3="Stage 3",$B$5=20,$B$11&gt;11),1,IF(AND(OR($B$3="Stage 2",AND($B$3="Stage 3",OR($B$15="Year 10-11-12 Girls"))),$B$5&gt;20),MIN(3,MAX(2,Setup!$B$14)),2))*2),AND(OR($B$3="Stage 1",$B$3="Stage 2",AND($B$3="Stage 3",OR(OR($B$15="Year 10-11-12 Girls"),OR($B$15="Year 8 Boys",$B$15="Year 9 Boys",$B$15="Year 10-11 Boys")))),$B$8&lt;&gt;"One Keeper",$E$4&lt;&gt;$E$5,$A33&gt;IF($B$8="One Keeper",$B$5,$B$8),COUNTIF($C$32:$C32,$E$4)&lt;IF(AND($B$3="Stage 3",$B$5=20,$B$11&gt;11),1,IF(AND(OR($B$3="Stage 2",AND($B$3="Stage 3",OR($B$15="Year 10-11-12 Girls"))),$B$5&gt;20),MIN(3,MAX(2,Setup!$B$14)),2)),IFERROR(INDEX($E$18:$E$30,MATCH($E$4,$B$18:$B$30,0)),"No")="Yes",$C32&lt;&gt;$E$4,IF($B$7="Three-over spell",AND(MOD($A33-IF($B$8="One Keeper",$B$5,$B$8)-1,3)=0,($A33-IF($B$8="One Keeper",$B$5,$B$8))&lt;=1+(IF(AND($B$3="Stage 3",$B$5=20,$B$11&gt;11),1,IF(AND(OR($B$3="Stage 2",AND($B$3="Stage 3",OR($B$15="Year 10-11-12 Girls"))),$B$5&gt;20),MIN(3,MAX(2,Setup!$B$14)),2))-1)*3),AND(MOD($A33-IF($B$8="One Keeper",$B$5,$B$8),2)=1,($A33-IF($B$8="One Keeper",$B$5,$B$8))&lt;=IF(AND($B$3="Stage 3",$B$5=20,$B$11&gt;11),1,IF(AND(OR($B$3="Stage 2",AND($B$3="Stage 3",OR($B$15="Year 10-11-12 Girls"))),$B$5&gt;20),MIN(3,MAX(2,Setup!$B$14)),2))*2-1))))),OR($U33,AND($B$3="Stage 3",$B$5=20,$B$11&gt;11)),OR($BJ33,$BK33,$BL33,$BM33,$BN33,$BO33,$BP33,$BQ33,$BR33,$BS33,$BT33,$BU33,$BV33))</f>
        <v>0</v>
      </c>
      <c r="BJ33" s="20" t="b">
        <f>IF(AI33="",FALSE,AND(AI33&lt;&gt;IF(AND($B$3="Stage 3",OR($B$15="Year 8 Boys",$B$15="Year 9 Boys",$B$15="Year 10-11 Boys"),$B$8="One Keeper"),$E$4,""),AI33&lt;&gt;$B33,AI33&lt;&gt;$C32,IFERROR(INDEX($E$18:$E$30,MATCH(AI33,$B$18:$B$30,0)),"No")="Yes",COUNTIF($C$32:$C32,AI33)&lt;$B$6,COUNTIF($C$32:$C32,AI33)&lt;IF($B$3="Stage 1",MIN($B$6,MAX(1,INT($B$5/$B$11))),IF(AND($B$3="Stage 3",$B$5=20,$B$11&gt;11),1,IF(AND($B$3="Stage 3",OR($B$15="Year 10-11-12 Girls"),$B$5&gt;20),MAX(2,Setup!$B$14),Setup!$B$14)))))</f>
        <v>1</v>
      </c>
      <c r="BK33" s="20" t="b">
        <f>IF(AJ33="",FALSE,AND(AJ33&lt;&gt;IF(AND($B$3="Stage 3",OR($B$15="Year 8 Boys",$B$15="Year 9 Boys",$B$15="Year 10-11 Boys"),$B$8="One Keeper"),$E$4,""),AJ33&lt;&gt;$B33,AJ33&lt;&gt;$C32,IFERROR(INDEX($E$18:$E$30,MATCH(AJ33,$B$18:$B$30,0)),"No")="Yes",COUNTIF($C$32:$C32,AJ33)&lt;$B$6,COUNTIF($C$32:$C32,AJ33)&lt;IF($B$3="Stage 1",MIN($B$6,MAX(1,INT($B$5/$B$11))),IF(AND($B$3="Stage 3",$B$5=20,$B$11&gt;11),1,IF(AND($B$3="Stage 3",OR($B$15="Year 10-11-12 Girls"),$B$5&gt;20),MAX(2,Setup!$B$14),Setup!$B$14)))))</f>
        <v>1</v>
      </c>
      <c r="BL33" s="20" t="b">
        <f>IF(AK33="",FALSE,AND(AK33&lt;&gt;IF(AND($B$3="Stage 3",OR($B$15="Year 8 Boys",$B$15="Year 9 Boys",$B$15="Year 10-11 Boys"),$B$8="One Keeper"),$E$4,""),AK33&lt;&gt;$B33,AK33&lt;&gt;$C32,IFERROR(INDEX($E$18:$E$30,MATCH(AK33,$B$18:$B$30,0)),"No")="Yes",COUNTIF($C$32:$C32,AK33)&lt;$B$6,COUNTIF($C$32:$C32,AK33)&lt;IF($B$3="Stage 1",MIN($B$6,MAX(1,INT($B$5/$B$11))),IF(AND($B$3="Stage 3",$B$5=20,$B$11&gt;11),1,IF(AND($B$3="Stage 3",OR($B$15="Year 10-11-12 Girls"),$B$5&gt;20),MAX(2,Setup!$B$14),Setup!$B$14)))))</f>
        <v>1</v>
      </c>
      <c r="BM33" s="20" t="b">
        <f>IF(AL33="",FALSE,AND(AL33&lt;&gt;IF(AND($B$3="Stage 3",OR($B$15="Year 8 Boys",$B$15="Year 9 Boys",$B$15="Year 10-11 Boys"),$B$8="One Keeper"),$E$4,""),AL33&lt;&gt;$B33,AL33&lt;&gt;$C32,IFERROR(INDEX($E$18:$E$30,MATCH(AL33,$B$18:$B$30,0)),"No")="Yes",COUNTIF($C$32:$C32,AL33)&lt;$B$6,COUNTIF($C$32:$C32,AL33)&lt;IF($B$3="Stage 1",MIN($B$6,MAX(1,INT($B$5/$B$11))),IF(AND($B$3="Stage 3",$B$5=20,$B$11&gt;11),1,IF(AND($B$3="Stage 3",OR($B$15="Year 10-11-12 Girls"),$B$5&gt;20),MAX(2,Setup!$B$14),Setup!$B$14)))))</f>
        <v>1</v>
      </c>
      <c r="BN33" s="20" t="b">
        <f>IF(AM33="",FALSE,AND(AM33&lt;&gt;IF(AND($B$3="Stage 3",OR($B$15="Year 8 Boys",$B$15="Year 9 Boys",$B$15="Year 10-11 Boys"),$B$8="One Keeper"),$E$4,""),AM33&lt;&gt;$B33,AM33&lt;&gt;$C32,IFERROR(INDEX($E$18:$E$30,MATCH(AM33,$B$18:$B$30,0)),"No")="Yes",COUNTIF($C$32:$C32,AM33)&lt;$B$6,COUNTIF($C$32:$C32,AM33)&lt;IF($B$3="Stage 1",MIN($B$6,MAX(1,INT($B$5/$B$11))),IF(AND($B$3="Stage 3",$B$5=20,$B$11&gt;11),1,IF(AND($B$3="Stage 3",OR($B$15="Year 10-11-12 Girls"),$B$5&gt;20),MAX(2,Setup!$B$14),Setup!$B$14)))))</f>
        <v>0</v>
      </c>
      <c r="BO33" s="20" t="b">
        <f>IF(AN33="",FALSE,AND(AN33&lt;&gt;IF(AND($B$3="Stage 3",OR($B$15="Year 8 Boys",$B$15="Year 9 Boys",$B$15="Year 10-11 Boys"),$B$8="One Keeper"),$E$4,""),AN33&lt;&gt;$B33,AN33&lt;&gt;$C32,IFERROR(INDEX($E$18:$E$30,MATCH(AN33,$B$18:$B$30,0)),"No")="Yes",COUNTIF($C$32:$C32,AN33)&lt;$B$6,COUNTIF($C$32:$C32,AN33)&lt;IF($B$3="Stage 1",MIN($B$6,MAX(1,INT($B$5/$B$11))),IF(AND($B$3="Stage 3",$B$5=20,$B$11&gt;11),1,IF(AND($B$3="Stage 3",OR($B$15="Year 10-11-12 Girls"),$B$5&gt;20),MAX(2,Setup!$B$14),Setup!$B$14)))))</f>
        <v>1</v>
      </c>
      <c r="BP33" s="20" t="b">
        <f>IF(AO33="",FALSE,AND(AO33&lt;&gt;IF(AND($B$3="Stage 3",OR($B$15="Year 8 Boys",$B$15="Year 9 Boys",$B$15="Year 10-11 Boys"),$B$8="One Keeper"),$E$4,""),AO33&lt;&gt;$B33,AO33&lt;&gt;$C32,IFERROR(INDEX($E$18:$E$30,MATCH(AO33,$B$18:$B$30,0)),"No")="Yes",COUNTIF($C$32:$C32,AO33)&lt;$B$6,COUNTIF($C$32:$C32,AO33)&lt;IF($B$3="Stage 1",MIN($B$6,MAX(1,INT($B$5/$B$11))),IF(AND($B$3="Stage 3",$B$5=20,$B$11&gt;11),1,IF(AND($B$3="Stage 3",OR($B$15="Year 10-11-12 Girls"),$B$5&gt;20),MAX(2,Setup!$B$14),Setup!$B$14)))))</f>
        <v>0</v>
      </c>
      <c r="BQ33" s="20" t="b">
        <f>IF(AP33="",FALSE,AND(AP33&lt;&gt;IF(AND($B$3="Stage 3",OR($B$15="Year 8 Boys",$B$15="Year 9 Boys",$B$15="Year 10-11 Boys"),$B$8="One Keeper"),$E$4,""),AP33&lt;&gt;$B33,AP33&lt;&gt;$C32,IFERROR(INDEX($E$18:$E$30,MATCH(AP33,$B$18:$B$30,0)),"No")="Yes",COUNTIF($C$32:$C32,AP33)&lt;$B$6,COUNTIF($C$32:$C32,AP33)&lt;IF($B$3="Stage 1",MIN($B$6,MAX(1,INT($B$5/$B$11))),IF(AND($B$3="Stage 3",$B$5=20,$B$11&gt;11),1,IF(AND($B$3="Stage 3",OR($B$15="Year 10-11-12 Girls"),$B$5&gt;20),MAX(2,Setup!$B$14),Setup!$B$14)))))</f>
        <v>1</v>
      </c>
      <c r="BR33" s="20" t="b">
        <f>IF(AQ33="",FALSE,AND(AQ33&lt;&gt;IF(AND($B$3="Stage 3",OR($B$15="Year 8 Boys",$B$15="Year 9 Boys",$B$15="Year 10-11 Boys"),$B$8="One Keeper"),$E$4,""),AQ33&lt;&gt;$B33,AQ33&lt;&gt;$C32,IFERROR(INDEX($E$18:$E$30,MATCH(AQ33,$B$18:$B$30,0)),"No")="Yes",COUNTIF($C$32:$C32,AQ33)&lt;$B$6,COUNTIF($C$32:$C32,AQ33)&lt;IF($B$3="Stage 1",MIN($B$6,MAX(1,INT($B$5/$B$11))),IF(AND($B$3="Stage 3",$B$5=20,$B$11&gt;11),1,IF(AND($B$3="Stage 3",OR($B$15="Year 10-11-12 Girls"),$B$5&gt;20),MAX(2,Setup!$B$14),Setup!$B$14)))))</f>
        <v>1</v>
      </c>
      <c r="BS33" s="20" t="b">
        <f>IF(AR33="",FALSE,AND(AR33&lt;&gt;IF(AND($B$3="Stage 3",OR($B$15="Year 8 Boys",$B$15="Year 9 Boys",$B$15="Year 10-11 Boys"),$B$8="One Keeper"),$E$4,""),AR33&lt;&gt;$B33,AR33&lt;&gt;$C32,IFERROR(INDEX($E$18:$E$30,MATCH(AR33,$B$18:$B$30,0)),"No")="Yes",COUNTIF($C$32:$C32,AR33)&lt;$B$6,COUNTIF($C$32:$C32,AR33)&lt;IF($B$3="Stage 1",MIN($B$6,MAX(1,INT($B$5/$B$11))),IF(AND($B$3="Stage 3",$B$5=20,$B$11&gt;11),1,IF(AND($B$3="Stage 3",OR($B$15="Year 10-11-12 Girls"),$B$5&gt;20),MAX(2,Setup!$B$14),Setup!$B$14)))))</f>
        <v>1</v>
      </c>
      <c r="BT33" s="20" t="b">
        <f>IF(AS33="",FALSE,AND(AS33&lt;&gt;IF(AND($B$3="Stage 3",OR($B$15="Year 8 Boys",$B$15="Year 9 Boys",$B$15="Year 10-11 Boys"),$B$8="One Keeper"),$E$4,""),AS33&lt;&gt;$B33,AS33&lt;&gt;$C32,IFERROR(INDEX($E$18:$E$30,MATCH(AS33,$B$18:$B$30,0)),"No")="Yes",COUNTIF($C$32:$C32,AS33)&lt;$B$6,COUNTIF($C$32:$C32,AS33)&lt;IF($B$3="Stage 1",MIN($B$6,MAX(1,INT($B$5/$B$11))),IF(AND($B$3="Stage 3",$B$5=20,$B$11&gt;11),1,IF(AND($B$3="Stage 3",OR($B$15="Year 10-11-12 Girls"),$B$5&gt;20),MAX(2,Setup!$B$14),Setup!$B$14)))))</f>
        <v>1</v>
      </c>
      <c r="BU33" s="20" t="b">
        <f>IF(AT33="",FALSE,AND(AT33&lt;&gt;IF(AND($B$3="Stage 3",OR($B$15="Year 8 Boys",$B$15="Year 9 Boys",$B$15="Year 10-11 Boys"),$B$8="One Keeper"),$E$4,""),AT33&lt;&gt;$B33,AT33&lt;&gt;$C32,IFERROR(INDEX($E$18:$E$30,MATCH(AT33,$B$18:$B$30,0)),"No")="Yes",COUNTIF($C$32:$C32,AT33)&lt;$B$6,COUNTIF($C$32:$C32,AT33)&lt;IF($B$3="Stage 1",MIN($B$6,MAX(1,INT($B$5/$B$11))),IF(AND($B$3="Stage 3",$B$5=20,$B$11&gt;11),1,IF(AND($B$3="Stage 3",OR($B$15="Year 10-11-12 Girls"),$B$5&gt;20),MAX(2,Setup!$B$14),Setup!$B$14)))))</f>
        <v>0</v>
      </c>
      <c r="BV33" s="20" t="b">
        <f>IF(AU33="",FALSE,AND(AU33&lt;&gt;IF(AND($B$3="Stage 3",OR($B$15="Year 8 Boys",$B$15="Year 9 Boys",$B$15="Year 10-11 Boys"),$B$8="One Keeper"),$E$4,""),AU33&lt;&gt;$B33,AU33&lt;&gt;$C32,IFERROR(INDEX($E$18:$E$30,MATCH(AU33,$B$18:$B$30,0)),"No")="Yes",COUNTIF($C$32:$C32,AU33)&lt;$B$6,COUNTIF($C$32:$C32,AU33)&lt;IF($B$3="Stage 1",MIN($B$6,MAX(1,INT($B$5/$B$11))),IF(AND($B$3="Stage 3",$B$5=20,$B$11&gt;11),1,IF(AND($B$3="Stage 3",OR($B$15="Year 10-11-12 Girls"),$B$5&gt;20),MAX(2,Setup!$B$14),Setup!$B$14)))))</f>
        <v>1</v>
      </c>
      <c r="BW33" s="20"/>
      <c r="BX33" s="20"/>
      <c r="BY33" s="20"/>
      <c r="BZ33" s="20"/>
      <c r="CA33" s="20"/>
      <c r="CB33" s="20"/>
      <c r="CC33" s="20"/>
      <c r="CD33" s="20"/>
      <c r="CE33" s="20"/>
      <c r="CF33" s="20"/>
      <c r="CG33" s="20"/>
      <c r="CH33" s="20"/>
      <c r="CI33" s="20"/>
      <c r="CJ33" s="20"/>
      <c r="CK33" s="20"/>
    </row>
    <row r="34" spans="1:89" ht="26.4" customHeight="1">
      <c r="A34" s="18">
        <v>3</v>
      </c>
      <c r="B34" s="18" t="str">
        <f t="shared" si="5"/>
        <v>Player 1</v>
      </c>
      <c r="C34" s="18" t="str">
        <f t="shared" si="6"/>
        <v>Player 5</v>
      </c>
      <c r="D34" s="18">
        <f t="shared" si="7"/>
        <v>3</v>
      </c>
      <c r="E34" s="18">
        <f>IF($C34="","",COUNTIF($C$32:C34,$C34))</f>
        <v>1</v>
      </c>
      <c r="F34" s="18" t="str">
        <f t="shared" si="8"/>
        <v/>
      </c>
      <c r="H34" s="18" t="str">
        <f t="shared" si="9"/>
        <v>Player 3</v>
      </c>
      <c r="I34" s="18">
        <f t="shared" si="10"/>
        <v>3</v>
      </c>
      <c r="J34" s="18" t="str">
        <f t="shared" si="11"/>
        <v>OK</v>
      </c>
      <c r="K34" s="18" t="str">
        <f>IF($H34="","",IF($B$3="Stage 1","",IF($B$10="Finals","Finals",IF($B$3="Stage 2",IF($B$5=20,IF($B$11=11,IF($I34&gt;=1,"OK","Needs 1+"),IF($I34&gt;=2,"OK","Needs 2")),IF($B$5=30,IF($I34&gt;=2,"OK","Needs 2"),IF($I34&gt;=Setup!$B$14,"OK","Below target"))),IF($B$3="Stage 3",IF(OR($B$15="Year 8 Boys",$B$15="Year 9 Boys",$B$15="Year 10-11 Boys"),"Team rule",IF($B$5=20,IF($B$11&gt;10,IF($I34&gt;=1,"OK","Needs 1+"),IF($I34&gt;=2,"OK","Needs 2")),IF($I34&gt;=MAX(2,Setup!$B$14),"OK","Needs "&amp;MAX(2,Setup!$B$14)))),"")))))</f>
        <v/>
      </c>
      <c r="L34" s="18" t="str">
        <f t="shared" si="12"/>
        <v>Yes</v>
      </c>
      <c r="M34" s="18" t="str">
        <f t="shared" si="13"/>
        <v/>
      </c>
      <c r="N34" s="18" t="str">
        <f t="shared" si="14"/>
        <v/>
      </c>
      <c r="T34" s="20">
        <f t="shared" si="15"/>
        <v>3</v>
      </c>
      <c r="U34" s="20" t="b">
        <f>IF(OR($B$3="Stage 2",AND($B$3="Stage 3",OR($B$15="Year 10-11-12 Girls"))),(IF(AND($P$18&lt;&gt;"",$P$18&lt;&gt;$E$4,COUNTIF($C$32:$C33,$P$18)&gt;=2),1,0)+IF(AND($P$19&lt;&gt;"",$P$19&lt;&gt;$E$4,COUNTIF($C$32:$C33,$P$19)&gt;=2),1,0)+IF(AND($P$20&lt;&gt;"",$P$20&lt;&gt;$E$4,COUNTIF($C$32:$C33,$P$20)&gt;=2),1,0)+IF(AND($P$21&lt;&gt;"",$P$21&lt;&gt;$E$4,COUNTIF($C$32:$C33,$P$21)&gt;=2),1,0)+IF(AND($P$22&lt;&gt;"",$P$22&lt;&gt;$E$4,COUNTIF($C$32:$C33,$P$22)&gt;=2),1,0)+IF(AND($P$23&lt;&gt;"",$P$23&lt;&gt;$E$4,COUNTIF($C$32:$C33,$P$23)&gt;=2),1,0)+IF(AND($P$24&lt;&gt;"",$P$24&lt;&gt;$E$4,COUNTIF($C$32:$C33,$P$24)&gt;=2),1,0)+IF(AND($P$25&lt;&gt;"",$P$25&lt;&gt;$E$4,COUNTIF($C$32:$C33,$P$25)&gt;=2),1,0)+IF(AND($P$26&lt;&gt;"",$P$26&lt;&gt;$E$4,COUNTIF($C$32:$C33,$P$26)&gt;=2),1,0)+IF(AND($P$27&lt;&gt;"",$P$27&lt;&gt;$E$4,COUNTIF($C$32:$C33,$P$27)&gt;=2),1,0)+IF(AND($P$28&lt;&gt;"",$P$28&lt;&gt;$E$4,COUNTIF($C$32:$C33,$P$28)&gt;=2),1,0)+IF(AND($P$29&lt;&gt;"",$P$29&lt;&gt;$E$4,COUNTIF($C$32:$C33,$P$29)&gt;=2),1,0)+IF(AND($P$30&lt;&gt;"",$P$30&lt;&gt;$E$4,COUNTIF($C$32:$C33,$P$30)&gt;=2),1,0))&gt;=MAX(0,$B$11-1),IF(AND($B$3="Stage 3",OR($B$15="Year 8 Boys",$B$15="Year 9 Boys",$B$15="Year 10-11 Boys")),(IF(AND($P$18&lt;&gt;"",COUNTIF($C$32:$C33,$P$18)&gt;=2),1,0)+IF(AND($P$19&lt;&gt;"",COUNTIF($C$32:$C33,$P$19)&gt;=2),1,0)+IF(AND($P$20&lt;&gt;"",COUNTIF($C$32:$C33,$P$20)&gt;=2),1,0)+IF(AND($P$21&lt;&gt;"",COUNTIF($C$32:$C33,$P$21)&gt;=2),1,0)+IF(AND($P$22&lt;&gt;"",COUNTIF($C$32:$C33,$P$22)&gt;=2),1,0)+IF(AND($P$23&lt;&gt;"",COUNTIF($C$32:$C33,$P$23)&gt;=2),1,0)+IF(AND($P$24&lt;&gt;"",COUNTIF($C$32:$C33,$P$24)&gt;=2),1,0)+IF(AND($P$25&lt;&gt;"",COUNTIF($C$32:$C33,$P$25)&gt;=2),1,0)+IF(AND($P$26&lt;&gt;"",COUNTIF($C$32:$C33,$P$26)&gt;=2),1,0)+IF(AND($P$27&lt;&gt;"",COUNTIF($C$32:$C33,$P$27)&gt;=2),1,0)+IF(AND($P$28&lt;&gt;"",COUNTIF($C$32:$C33,$P$28)&gt;=2),1,0)+IF(AND($P$29&lt;&gt;"",COUNTIF($C$32:$C33,$P$29)&gt;=2),1,0)+IF(AND($P$30&lt;&gt;"",COUNTIF($C$32:$C33,$P$30)&gt;=2),1,0))&gt;=7,TRUE))</f>
        <v>1</v>
      </c>
      <c r="V34" s="20">
        <f t="shared" si="16"/>
        <v>3</v>
      </c>
      <c r="W34" s="20">
        <f t="shared" si="16"/>
        <v>4</v>
      </c>
      <c r="X34" s="20">
        <f t="shared" si="16"/>
        <v>5</v>
      </c>
      <c r="Y34" s="20">
        <f t="shared" si="16"/>
        <v>6</v>
      </c>
      <c r="Z34" s="20">
        <f t="shared" si="16"/>
        <v>7</v>
      </c>
      <c r="AA34" s="20">
        <f t="shared" si="16"/>
        <v>1</v>
      </c>
      <c r="AB34" s="20">
        <f t="shared" si="16"/>
        <v>2</v>
      </c>
      <c r="AC34" s="20">
        <f t="shared" si="16"/>
        <v>3</v>
      </c>
      <c r="AD34" s="20">
        <f t="shared" si="16"/>
        <v>4</v>
      </c>
      <c r="AE34" s="20">
        <f t="shared" si="16"/>
        <v>5</v>
      </c>
      <c r="AF34" s="20">
        <f t="shared" si="16"/>
        <v>6</v>
      </c>
      <c r="AG34" s="20">
        <f t="shared" si="16"/>
        <v>7</v>
      </c>
      <c r="AH34" s="20">
        <f t="shared" si="16"/>
        <v>1</v>
      </c>
      <c r="AI34" s="20" t="str">
        <f t="shared" si="17"/>
        <v>Player 5</v>
      </c>
      <c r="AJ34" s="20" t="str">
        <f t="shared" si="18"/>
        <v>Player 6</v>
      </c>
      <c r="AK34" s="20" t="str">
        <f t="shared" si="19"/>
        <v>Player 7</v>
      </c>
      <c r="AL34" s="20" t="str">
        <f t="shared" si="20"/>
        <v>Player 1</v>
      </c>
      <c r="AM34" s="20" t="str">
        <f t="shared" si="21"/>
        <v>Player 2</v>
      </c>
      <c r="AN34" s="20" t="str">
        <f t="shared" si="22"/>
        <v>Player 3</v>
      </c>
      <c r="AO34" s="20" t="str">
        <f t="shared" si="23"/>
        <v>Player 4</v>
      </c>
      <c r="AP34" s="20" t="str">
        <f t="shared" si="24"/>
        <v>Player 5</v>
      </c>
      <c r="AQ34" s="20" t="str">
        <f t="shared" si="25"/>
        <v>Player 6</v>
      </c>
      <c r="AR34" s="20" t="str">
        <f t="shared" si="26"/>
        <v>Player 7</v>
      </c>
      <c r="AS34" s="20" t="str">
        <f t="shared" si="27"/>
        <v>Player 1</v>
      </c>
      <c r="AT34" s="20" t="str">
        <f t="shared" si="28"/>
        <v>Player 2</v>
      </c>
      <c r="AU34" s="20" t="str">
        <f t="shared" si="29"/>
        <v>Player 3</v>
      </c>
      <c r="AV34" s="20" t="b">
        <f>IF(AI34="",FALSE,AND(AI34&lt;&gt;$B34,AI34&lt;&gt;$C33,IFERROR(INDEX($E$18:$E$30,MATCH(AI34,$B$18:$B$30,0)),"No")="Yes",IF(AND(OR($B$3="Stage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Girls"))),$B$5&gt;20),MIN(3,MAX(2,Setup!$B$14)),2))*2),AI34=$E$5,IF(AND(OR($B$3="Stage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Girls"))),$B$5&gt;20),MIN(3,MAX(2,Setup!$B$14)),2))*2-1))),AI34=$E$4,TRUE)),COUNTIF($C$32:$C33,AI34)&lt;$B$6,IF($BI34,COUNTIF($C$32:$C33,AI34)&lt;IF($B$3="Stage 1",MIN($B$6,MAX(1,INT($B$5/$B$11))),IF(AND($B$3="Stage 3",$B$5=20,$B$11&gt;11),1,IF(AND($B$3="Stage 3",OR($B$15="Year 10-11-12 Girls"),$B$5&gt;20),MAX(2,Setup!$B$14),Setup!$B$14))),IF(AND($B$3&lt;&gt;"Stage 2",$B$3&lt;&gt;"Stage 3"),TRUE,IF($U34,TRUE,COUNTIF($C$32:$C33,AI34)&lt;IF(AND($B$3="Stage 2",$B$5=20,AI34=$E$5,$A34&lt;=IF($B$8="One Keeper",$B$5,$B$8)),2,IF(AND(OR($B$3="Stage 2",AND($B$3="Stage 3",OR($B$15="Year 10-11-12 Girls"))),AI34=$E$5,$A34&lt;=IF($B$8="One Keeper",$B$5,$B$8)),3,$B$9)))))))</f>
        <v>1</v>
      </c>
      <c r="AW34" s="20" t="b">
        <f>IF(AJ34="",FALSE,AND(AJ34&lt;&gt;$B34,AJ34&lt;&gt;$C33,IFERROR(INDEX($E$18:$E$30,MATCH(AJ34,$B$18:$B$30,0)),"No")="Yes",IF(AND(OR($B$3="Stage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Girls"))),$B$5&gt;20),MIN(3,MAX(2,Setup!$B$14)),2))*2),AJ34=$E$5,IF(AND(OR($B$3="Stage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Girls"))),$B$5&gt;20),MIN(3,MAX(2,Setup!$B$14)),2))*2-1))),AJ34=$E$4,TRUE)),COUNTIF($C$32:$C33,AJ34)&lt;$B$6,IF($BI34,COUNTIF($C$32:$C33,AJ34)&lt;IF($B$3="Stage 1",MIN($B$6,MAX(1,INT($B$5/$B$11))),IF(AND($B$3="Stage 3",$B$5=20,$B$11&gt;11),1,IF(AND($B$3="Stage 3",OR($B$15="Year 10-11-12 Girls"),$B$5&gt;20),MAX(2,Setup!$B$14),Setup!$B$14))),IF(AND($B$3&lt;&gt;"Stage 2",$B$3&lt;&gt;"Stage 3"),TRUE,IF($U34,TRUE,COUNTIF($C$32:$C33,AJ34)&lt;IF(AND($B$3="Stage 2",$B$5=20,AJ34=$E$5,$A34&lt;=IF($B$8="One Keeper",$B$5,$B$8)),2,IF(AND(OR($B$3="Stage 2",AND($B$3="Stage 3",OR($B$15="Year 10-11-12 Girls"))),AJ34=$E$5,$A34&lt;=IF($B$8="One Keeper",$B$5,$B$8)),3,$B$9)))))))</f>
        <v>1</v>
      </c>
      <c r="AX34" s="20" t="b">
        <f>IF(AK34="",FALSE,AND(AK34&lt;&gt;$B34,AK34&lt;&gt;$C33,IFERROR(INDEX($E$18:$E$30,MATCH(AK34,$B$18:$B$30,0)),"No")="Yes",IF(AND(OR($B$3="Stage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Girls"))),$B$5&gt;20),MIN(3,MAX(2,Setup!$B$14)),2))*2),AK34=$E$5,IF(AND(OR($B$3="Stage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Girls"))),$B$5&gt;20),MIN(3,MAX(2,Setup!$B$14)),2))*2-1))),AK34=$E$4,TRUE)),COUNTIF($C$32:$C33,AK34)&lt;$B$6,IF($BI34,COUNTIF($C$32:$C33,AK34)&lt;IF($B$3="Stage 1",MIN($B$6,MAX(1,INT($B$5/$B$11))),IF(AND($B$3="Stage 3",$B$5=20,$B$11&gt;11),1,IF(AND($B$3="Stage 3",OR($B$15="Year 10-11-12 Girls"),$B$5&gt;20),MAX(2,Setup!$B$14),Setup!$B$14))),IF(AND($B$3&lt;&gt;"Stage 2",$B$3&lt;&gt;"Stage 3"),TRUE,IF($U34,TRUE,COUNTIF($C$32:$C33,AK34)&lt;IF(AND($B$3="Stage 2",$B$5=20,AK34=$E$5,$A34&lt;=IF($B$8="One Keeper",$B$5,$B$8)),2,IF(AND(OR($B$3="Stage 2",AND($B$3="Stage 3",OR($B$15="Year 10-11-12 Girls"))),AK34=$E$5,$A34&lt;=IF($B$8="One Keeper",$B$5,$B$8)),3,$B$9)))))))</f>
        <v>1</v>
      </c>
      <c r="AY34" s="20" t="b">
        <f>IF(AL34="",FALSE,AND(AL34&lt;&gt;$B34,AL34&lt;&gt;$C33,IFERROR(INDEX($E$18:$E$30,MATCH(AL34,$B$18:$B$30,0)),"No")="Yes",IF(AND(OR($B$3="Stage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Girls"))),$B$5&gt;20),MIN(3,MAX(2,Setup!$B$14)),2))*2),AL34=$E$5,IF(AND(OR($B$3="Stage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Girls"))),$B$5&gt;20),MIN(3,MAX(2,Setup!$B$14)),2))*2-1))),AL34=$E$4,TRUE)),COUNTIF($C$32:$C33,AL34)&lt;$B$6,IF($BI34,COUNTIF($C$32:$C33,AL34)&lt;IF($B$3="Stage 1",MIN($B$6,MAX(1,INT($B$5/$B$11))),IF(AND($B$3="Stage 3",$B$5=20,$B$11&gt;11),1,IF(AND($B$3="Stage 3",OR($B$15="Year 10-11-12 Girls"),$B$5&gt;20),MAX(2,Setup!$B$14),Setup!$B$14))),IF(AND($B$3&lt;&gt;"Stage 2",$B$3&lt;&gt;"Stage 3"),TRUE,IF($U34,TRUE,COUNTIF($C$32:$C33,AL34)&lt;IF(AND($B$3="Stage 2",$B$5=20,AL34=$E$5,$A34&lt;=IF($B$8="One Keeper",$B$5,$B$8)),2,IF(AND(OR($B$3="Stage 2",AND($B$3="Stage 3",OR($B$15="Year 10-11-12 Girls"))),AL34=$E$5,$A34&lt;=IF($B$8="One Keeper",$B$5,$B$8)),3,$B$9)))))))</f>
        <v>0</v>
      </c>
      <c r="AZ34" s="20" t="b">
        <f>IF(AM34="",FALSE,AND(AM34&lt;&gt;$B34,AM34&lt;&gt;$C33,IFERROR(INDEX($E$18:$E$30,MATCH(AM34,$B$18:$B$30,0)),"No")="Yes",IF(AND(OR($B$3="Stage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Girls"))),$B$5&gt;20),MIN(3,MAX(2,Setup!$B$14)),2))*2),AM34=$E$5,IF(AND(OR($B$3="Stage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Girls"))),$B$5&gt;20),MIN(3,MAX(2,Setup!$B$14)),2))*2-1))),AM34=$E$4,TRUE)),COUNTIF($C$32:$C33,AM34)&lt;$B$6,IF($BI34,COUNTIF($C$32:$C33,AM34)&lt;IF($B$3="Stage 1",MIN($B$6,MAX(1,INT($B$5/$B$11))),IF(AND($B$3="Stage 3",$B$5=20,$B$11&gt;11),1,IF(AND($B$3="Stage 3",OR($B$15="Year 10-11-12 Girls"),$B$5&gt;20),MAX(2,Setup!$B$14),Setup!$B$14))),IF(AND($B$3&lt;&gt;"Stage 2",$B$3&lt;&gt;"Stage 3"),TRUE,IF($U34,TRUE,COUNTIF($C$32:$C33,AM34)&lt;IF(AND($B$3="Stage 2",$B$5=20,AM34=$E$5,$A34&lt;=IF($B$8="One Keeper",$B$5,$B$8)),2,IF(AND(OR($B$3="Stage 2",AND($B$3="Stage 3",OR($B$15="Year 10-11-12 Girls"))),AM34=$E$5,$A34&lt;=IF($B$8="One Keeper",$B$5,$B$8)),3,$B$9)))))))</f>
        <v>0</v>
      </c>
      <c r="BA34" s="20" t="b">
        <f>IF(AN34="",FALSE,AND(AN34&lt;&gt;$B34,AN34&lt;&gt;$C33,IFERROR(INDEX($E$18:$E$30,MATCH(AN34,$B$18:$B$30,0)),"No")="Yes",IF(AND(OR($B$3="Stage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Girls"))),$B$5&gt;20),MIN(3,MAX(2,Setup!$B$14)),2))*2),AN34=$E$5,IF(AND(OR($B$3="Stage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Girls"))),$B$5&gt;20),MIN(3,MAX(2,Setup!$B$14)),2))*2-1))),AN34=$E$4,TRUE)),COUNTIF($C$32:$C33,AN34)&lt;$B$6,IF($BI34,COUNTIF($C$32:$C33,AN34)&lt;IF($B$3="Stage 1",MIN($B$6,MAX(1,INT($B$5/$B$11))),IF(AND($B$3="Stage 3",$B$5=20,$B$11&gt;11),1,IF(AND($B$3="Stage 3",OR($B$15="Year 10-11-12 Girls"),$B$5&gt;20),MAX(2,Setup!$B$14),Setup!$B$14))),IF(AND($B$3&lt;&gt;"Stage 2",$B$3&lt;&gt;"Stage 3"),TRUE,IF($U34,TRUE,COUNTIF($C$32:$C33,AN34)&lt;IF(AND($B$3="Stage 2",$B$5=20,AN34=$E$5,$A34&lt;=IF($B$8="One Keeper",$B$5,$B$8)),2,IF(AND(OR($B$3="Stage 2",AND($B$3="Stage 3",OR($B$15="Year 10-11-12 Girls"))),AN34=$E$5,$A34&lt;=IF($B$8="One Keeper",$B$5,$B$8)),3,$B$9)))))))</f>
        <v>1</v>
      </c>
      <c r="BB34" s="20" t="b">
        <f>IF(AO34="",FALSE,AND(AO34&lt;&gt;$B34,AO34&lt;&gt;$C33,IFERROR(INDEX($E$18:$E$30,MATCH(AO34,$B$18:$B$30,0)),"No")="Yes",IF(AND(OR($B$3="Stage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Girls"))),$B$5&gt;20),MIN(3,MAX(2,Setup!$B$14)),2))*2),AO34=$E$5,IF(AND(OR($B$3="Stage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Girls"))),$B$5&gt;20),MIN(3,MAX(2,Setup!$B$14)),2))*2-1))),AO34=$E$4,TRUE)),COUNTIF($C$32:$C33,AO34)&lt;$B$6,IF($BI34,COUNTIF($C$32:$C33,AO34)&lt;IF($B$3="Stage 1",MIN($B$6,MAX(1,INT($B$5/$B$11))),IF(AND($B$3="Stage 3",$B$5=20,$B$11&gt;11),1,IF(AND($B$3="Stage 3",OR($B$15="Year 10-11-12 Girls"),$B$5&gt;20),MAX(2,Setup!$B$14),Setup!$B$14))),IF(AND($B$3&lt;&gt;"Stage 2",$B$3&lt;&gt;"Stage 3"),TRUE,IF($U34,TRUE,COUNTIF($C$32:$C33,AO34)&lt;IF(AND($B$3="Stage 2",$B$5=20,AO34=$E$5,$A34&lt;=IF($B$8="One Keeper",$B$5,$B$8)),2,IF(AND(OR($B$3="Stage 2",AND($B$3="Stage 3",OR($B$15="Year 10-11-12 Girls"))),AO34=$E$5,$A34&lt;=IF($B$8="One Keeper",$B$5,$B$8)),3,$B$9)))))))</f>
        <v>1</v>
      </c>
      <c r="BC34" s="20" t="b">
        <f>IF(AP34="",FALSE,AND(AP34&lt;&gt;$B34,AP34&lt;&gt;$C33,IFERROR(INDEX($E$18:$E$30,MATCH(AP34,$B$18:$B$30,0)),"No")="Yes",IF(AND(OR($B$3="Stage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Girls"))),$B$5&gt;20),MIN(3,MAX(2,Setup!$B$14)),2))*2),AP34=$E$5,IF(AND(OR($B$3="Stage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Girls"))),$B$5&gt;20),MIN(3,MAX(2,Setup!$B$14)),2))*2-1))),AP34=$E$4,TRUE)),COUNTIF($C$32:$C33,AP34)&lt;$B$6,IF($BI34,COUNTIF($C$32:$C33,AP34)&lt;IF($B$3="Stage 1",MIN($B$6,MAX(1,INT($B$5/$B$11))),IF(AND($B$3="Stage 3",$B$5=20,$B$11&gt;11),1,IF(AND($B$3="Stage 3",OR($B$15="Year 10-11-12 Girls"),$B$5&gt;20),MAX(2,Setup!$B$14),Setup!$B$14))),IF(AND($B$3&lt;&gt;"Stage 2",$B$3&lt;&gt;"Stage 3"),TRUE,IF($U34,TRUE,COUNTIF($C$32:$C33,AP34)&lt;IF(AND($B$3="Stage 2",$B$5=20,AP34=$E$5,$A34&lt;=IF($B$8="One Keeper",$B$5,$B$8)),2,IF(AND(OR($B$3="Stage 2",AND($B$3="Stage 3",OR($B$15="Year 10-11-12 Girls"))),AP34=$E$5,$A34&lt;=IF($B$8="One Keeper",$B$5,$B$8)),3,$B$9)))))))</f>
        <v>1</v>
      </c>
      <c r="BD34" s="20" t="b">
        <f>IF(AQ34="",FALSE,AND(AQ34&lt;&gt;$B34,AQ34&lt;&gt;$C33,IFERROR(INDEX($E$18:$E$30,MATCH(AQ34,$B$18:$B$30,0)),"No")="Yes",IF(AND(OR($B$3="Stage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Girls"))),$B$5&gt;20),MIN(3,MAX(2,Setup!$B$14)),2))*2),AQ34=$E$5,IF(AND(OR($B$3="Stage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Girls"))),$B$5&gt;20),MIN(3,MAX(2,Setup!$B$14)),2))*2-1))),AQ34=$E$4,TRUE)),COUNTIF($C$32:$C33,AQ34)&lt;$B$6,IF($BI34,COUNTIF($C$32:$C33,AQ34)&lt;IF($B$3="Stage 1",MIN($B$6,MAX(1,INT($B$5/$B$11))),IF(AND($B$3="Stage 3",$B$5=20,$B$11&gt;11),1,IF(AND($B$3="Stage 3",OR($B$15="Year 10-11-12 Girls"),$B$5&gt;20),MAX(2,Setup!$B$14),Setup!$B$14))),IF(AND($B$3&lt;&gt;"Stage 2",$B$3&lt;&gt;"Stage 3"),TRUE,IF($U34,TRUE,COUNTIF($C$32:$C33,AQ34)&lt;IF(AND($B$3="Stage 2",$B$5=20,AQ34=$E$5,$A34&lt;=IF($B$8="One Keeper",$B$5,$B$8)),2,IF(AND(OR($B$3="Stage 2",AND($B$3="Stage 3",OR($B$15="Year 10-11-12 Girls"))),AQ34=$E$5,$A34&lt;=IF($B$8="One Keeper",$B$5,$B$8)),3,$B$9)))))))</f>
        <v>1</v>
      </c>
      <c r="BE34" s="20" t="b">
        <f>IF(AR34="",FALSE,AND(AR34&lt;&gt;$B34,AR34&lt;&gt;$C33,IFERROR(INDEX($E$18:$E$30,MATCH(AR34,$B$18:$B$30,0)),"No")="Yes",IF(AND(OR($B$3="Stage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Girls"))),$B$5&gt;20),MIN(3,MAX(2,Setup!$B$14)),2))*2),AR34=$E$5,IF(AND(OR($B$3="Stage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Girls"))),$B$5&gt;20),MIN(3,MAX(2,Setup!$B$14)),2))*2-1))),AR34=$E$4,TRUE)),COUNTIF($C$32:$C33,AR34)&lt;$B$6,IF($BI34,COUNTIF($C$32:$C33,AR34)&lt;IF($B$3="Stage 1",MIN($B$6,MAX(1,INT($B$5/$B$11))),IF(AND($B$3="Stage 3",$B$5=20,$B$11&gt;11),1,IF(AND($B$3="Stage 3",OR($B$15="Year 10-11-12 Girls"),$B$5&gt;20),MAX(2,Setup!$B$14),Setup!$B$14))),IF(AND($B$3&lt;&gt;"Stage 2",$B$3&lt;&gt;"Stage 3"),TRUE,IF($U34,TRUE,COUNTIF($C$32:$C33,AR34)&lt;IF(AND($B$3="Stage 2",$B$5=20,AR34=$E$5,$A34&lt;=IF($B$8="One Keeper",$B$5,$B$8)),2,IF(AND(OR($B$3="Stage 2",AND($B$3="Stage 3",OR($B$15="Year 10-11-12 Girls"))),AR34=$E$5,$A34&lt;=IF($B$8="One Keeper",$B$5,$B$8)),3,$B$9)))))))</f>
        <v>1</v>
      </c>
      <c r="BF34" s="20" t="b">
        <f>IF(AS34="",FALSE,AND(AS34&lt;&gt;$B34,AS34&lt;&gt;$C33,IFERROR(INDEX($E$18:$E$30,MATCH(AS34,$B$18:$B$30,0)),"No")="Yes",IF(AND(OR($B$3="Stage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Girls"))),$B$5&gt;20),MIN(3,MAX(2,Setup!$B$14)),2))*2),AS34=$E$5,IF(AND(OR($B$3="Stage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Girls"))),$B$5&gt;20),MIN(3,MAX(2,Setup!$B$14)),2))*2-1))),AS34=$E$4,TRUE)),COUNTIF($C$32:$C33,AS34)&lt;$B$6,IF($BI34,COUNTIF($C$32:$C33,AS34)&lt;IF($B$3="Stage 1",MIN($B$6,MAX(1,INT($B$5/$B$11))),IF(AND($B$3="Stage 3",$B$5=20,$B$11&gt;11),1,IF(AND($B$3="Stage 3",OR($B$15="Year 10-11-12 Girls"),$B$5&gt;20),MAX(2,Setup!$B$14),Setup!$B$14))),IF(AND($B$3&lt;&gt;"Stage 2",$B$3&lt;&gt;"Stage 3"),TRUE,IF($U34,TRUE,COUNTIF($C$32:$C33,AS34)&lt;IF(AND($B$3="Stage 2",$B$5=20,AS34=$E$5,$A34&lt;=IF($B$8="One Keeper",$B$5,$B$8)),2,IF(AND(OR($B$3="Stage 2",AND($B$3="Stage 3",OR($B$15="Year 10-11-12 Girls"))),AS34=$E$5,$A34&lt;=IF($B$8="One Keeper",$B$5,$B$8)),3,$B$9)))))))</f>
        <v>0</v>
      </c>
      <c r="BG34" s="20" t="b">
        <f>IF(AT34="",FALSE,AND(AT34&lt;&gt;$B34,AT34&lt;&gt;$C33,IFERROR(INDEX($E$18:$E$30,MATCH(AT34,$B$18:$B$30,0)),"No")="Yes",IF(AND(OR($B$3="Stage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Girls"))),$B$5&gt;20),MIN(3,MAX(2,Setup!$B$14)),2))*2),AT34=$E$5,IF(AND(OR($B$3="Stage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Girls"))),$B$5&gt;20),MIN(3,MAX(2,Setup!$B$14)),2))*2-1))),AT34=$E$4,TRUE)),COUNTIF($C$32:$C33,AT34)&lt;$B$6,IF($BI34,COUNTIF($C$32:$C33,AT34)&lt;IF($B$3="Stage 1",MIN($B$6,MAX(1,INT($B$5/$B$11))),IF(AND($B$3="Stage 3",$B$5=20,$B$11&gt;11),1,IF(AND($B$3="Stage 3",OR($B$15="Year 10-11-12 Girls"),$B$5&gt;20),MAX(2,Setup!$B$14),Setup!$B$14))),IF(AND($B$3&lt;&gt;"Stage 2",$B$3&lt;&gt;"Stage 3"),TRUE,IF($U34,TRUE,COUNTIF($C$32:$C33,AT34)&lt;IF(AND($B$3="Stage 2",$B$5=20,AT34=$E$5,$A34&lt;=IF($B$8="One Keeper",$B$5,$B$8)),2,IF(AND(OR($B$3="Stage 2",AND($B$3="Stage 3",OR($B$15="Year 10-11-12 Girls"))),AT34=$E$5,$A34&lt;=IF($B$8="One Keeper",$B$5,$B$8)),3,$B$9)))))))</f>
        <v>0</v>
      </c>
      <c r="BH34" s="20" t="b">
        <f>IF(AU34="",FALSE,AND(AU34&lt;&gt;$B34,AU34&lt;&gt;$C33,IFERROR(INDEX($E$18:$E$30,MATCH(AU34,$B$18:$B$30,0)),"No")="Yes",IF(AND(OR($B$3="Stage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Girls"))),$B$5&gt;20),MIN(3,MAX(2,Setup!$B$14)),2))*2),AU34=$E$5,IF(AND(OR($B$3="Stage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Girls"))),$B$5&gt;20),MIN(3,MAX(2,Setup!$B$14)),2))*2-1))),AU34=$E$4,TRUE)),COUNTIF($C$32:$C33,AU34)&lt;$B$6,IF($BI34,COUNTIF($C$32:$C33,AU34)&lt;IF($B$3="Stage 1",MIN($B$6,MAX(1,INT($B$5/$B$11))),IF(AND($B$3="Stage 3",$B$5=20,$B$11&gt;11),1,IF(AND($B$3="Stage 3",OR($B$15="Year 10-11-12 Girls"),$B$5&gt;20),MAX(2,Setup!$B$14),Setup!$B$14))),IF(AND($B$3&lt;&gt;"Stage 2",$B$3&lt;&gt;"Stage 3"),TRUE,IF($U34,TRUE,COUNTIF($C$32:$C33,AU34)&lt;IF(AND($B$3="Stage 2",$B$5=20,AU34=$E$5,$A34&lt;=IF($B$8="One Keeper",$B$5,$B$8)),2,IF(AND(OR($B$3="Stage 2",AND($B$3="Stage 3",OR($B$15="Year 10-11-12 Girls"))),AU34=$E$5,$A34&lt;=IF($B$8="One Keeper",$B$5,$B$8)),3,$B$9)))))))</f>
        <v>1</v>
      </c>
      <c r="BI34"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Keeper",$E$4&lt;&gt;$E$5,$A34&lt;=IF($B$8="One Keeper",$B$5,$B$8),COUNTIF($C$32:$C33,$E$5)&lt;IF(AND($B$3="Stage 3",$B$5=20,$B$11&gt;11),1,IF(AND(OR($B$3="Stage 2",AND($B$3="Stage 3",OR($B$15="Year 10-11-12 Girls"))),$B$5&gt;20),MIN(3,MAX(2,Setup!$B$14)),2)),IFERROR(INDEX($E$18:$E$30,MATCH($E$5,$B$18:$B$30,0)),"No")="Yes",$C33&lt;&gt;$E$5,MOD($A34,2)=0,$A34&lt;=IF(AND($B$3="Stage 3",$B$5=20,$B$11&gt;11),1,IF(AND(OR($B$3="Stage 2",AND($B$3="Stage 3",OR($B$15="Year 10-11-12 Girls"))),$B$5&gt;20),MIN(3,MAX(2,Setup!$B$14)),2))*2),AND(OR($B$3="Stage 1",$B$3="Stage 2",AND($B$3="Stage 3",OR(OR($B$15="Year 10-11-12 Girls"),OR($B$15="Year 8 Boys",$B$15="Year 9 Boys",$B$15="Year 10-11 Boys")))),$B$8&lt;&gt;"One Keeper",$E$4&lt;&gt;$E$5,$A34&gt;IF($B$8="One Keeper",$B$5,$B$8),COUNTIF($C$32:$C33,$E$4)&lt;IF(AND($B$3="Stage 3",$B$5=20,$B$11&gt;11),1,IF(AND(OR($B$3="Stage 2",AND($B$3="Stage 3",OR($B$15="Year 10-11-12 Girls"))),$B$5&gt;20),MIN(3,MAX(2,Setup!$B$14)),2)),IFERROR(INDEX($E$18:$E$30,MATCH($E$4,$B$18:$B$30,0)),"No")="Yes",$C33&lt;&gt;$E$4,IF($B$7="Three-over spell",AND(MOD($A34-IF($B$8="One Keeper",$B$5,$B$8)-1,3)=0,($A34-IF($B$8="One Keeper",$B$5,$B$8))&lt;=1+(IF(AND($B$3="Stage 3",$B$5=20,$B$11&gt;11),1,IF(AND(OR($B$3="Stage 2",AND($B$3="Stage 3",OR($B$15="Year 10-11-12 Girls"))),$B$5&gt;20),MIN(3,MAX(2,Setup!$B$14)),2))-1)*3),AND(MOD($A34-IF($B$8="One Keeper",$B$5,$B$8),2)=1,($A34-IF($B$8="One Keeper",$B$5,$B$8))&lt;=IF(AND($B$3="Stage 3",$B$5=20,$B$11&gt;11),1,IF(AND(OR($B$3="Stage 2",AND($B$3="Stage 3",OR($B$15="Year 10-11-12 Girls"))),$B$5&gt;20),MIN(3,MAX(2,Setup!$B$14)),2))*2-1))))),OR($U34,AND($B$3="Stage 3",$B$5=20,$B$11&gt;11)),OR($BJ34,$BK34,$BL34,$BM34,$BN34,$BO34,$BP34,$BQ34,$BR34,$BS34,$BT34,$BU34,$BV34))</f>
        <v>1</v>
      </c>
      <c r="BJ34" s="20" t="b">
        <f>IF(AI34="",FALSE,AND(AI34&lt;&gt;IF(AND($B$3="Stage 3",OR($B$15="Year 8 Boys",$B$15="Year 9 Boys",$B$15="Year 10-11 Boys"),$B$8="One Keeper"),$E$4,""),AI34&lt;&gt;$B34,AI34&lt;&gt;$C33,IFERROR(INDEX($E$18:$E$30,MATCH(AI34,$B$18:$B$30,0)),"No")="Yes",COUNTIF($C$32:$C33,AI34)&lt;$B$6,COUNTIF($C$32:$C33,AI34)&lt;IF($B$3="Stage 1",MIN($B$6,MAX(1,INT($B$5/$B$11))),IF(AND($B$3="Stage 3",$B$5=20,$B$11&gt;11),1,IF(AND($B$3="Stage 3",OR($B$15="Year 10-11-12 Girls"),$B$5&gt;20),MAX(2,Setup!$B$14),Setup!$B$14)))))</f>
        <v>1</v>
      </c>
      <c r="BK34" s="20" t="b">
        <f>IF(AJ34="",FALSE,AND(AJ34&lt;&gt;IF(AND($B$3="Stage 3",OR($B$15="Year 8 Boys",$B$15="Year 9 Boys",$B$15="Year 10-11 Boys"),$B$8="One Keeper"),$E$4,""),AJ34&lt;&gt;$B34,AJ34&lt;&gt;$C33,IFERROR(INDEX($E$18:$E$30,MATCH(AJ34,$B$18:$B$30,0)),"No")="Yes",COUNTIF($C$32:$C33,AJ34)&lt;$B$6,COUNTIF($C$32:$C33,AJ34)&lt;IF($B$3="Stage 1",MIN($B$6,MAX(1,INT($B$5/$B$11))),IF(AND($B$3="Stage 3",$B$5=20,$B$11&gt;11),1,IF(AND($B$3="Stage 3",OR($B$15="Year 10-11-12 Girls"),$B$5&gt;20),MAX(2,Setup!$B$14),Setup!$B$14)))))</f>
        <v>1</v>
      </c>
      <c r="BL34" s="20" t="b">
        <f>IF(AK34="",FALSE,AND(AK34&lt;&gt;IF(AND($B$3="Stage 3",OR($B$15="Year 8 Boys",$B$15="Year 9 Boys",$B$15="Year 10-11 Boys"),$B$8="One Keeper"),$E$4,""),AK34&lt;&gt;$B34,AK34&lt;&gt;$C33,IFERROR(INDEX($E$18:$E$30,MATCH(AK34,$B$18:$B$30,0)),"No")="Yes",COUNTIF($C$32:$C33,AK34)&lt;$B$6,COUNTIF($C$32:$C33,AK34)&lt;IF($B$3="Stage 1",MIN($B$6,MAX(1,INT($B$5/$B$11))),IF(AND($B$3="Stage 3",$B$5=20,$B$11&gt;11),1,IF(AND($B$3="Stage 3",OR($B$15="Year 10-11-12 Girls"),$B$5&gt;20),MAX(2,Setup!$B$14),Setup!$B$14)))))</f>
        <v>1</v>
      </c>
      <c r="BM34" s="20" t="b">
        <f>IF(AL34="",FALSE,AND(AL34&lt;&gt;IF(AND($B$3="Stage 3",OR($B$15="Year 8 Boys",$B$15="Year 9 Boys",$B$15="Year 10-11 Boys"),$B$8="One Keeper"),$E$4,""),AL34&lt;&gt;$B34,AL34&lt;&gt;$C33,IFERROR(INDEX($E$18:$E$30,MATCH(AL34,$B$18:$B$30,0)),"No")="Yes",COUNTIF($C$32:$C33,AL34)&lt;$B$6,COUNTIF($C$32:$C33,AL34)&lt;IF($B$3="Stage 1",MIN($B$6,MAX(1,INT($B$5/$B$11))),IF(AND($B$3="Stage 3",$B$5=20,$B$11&gt;11),1,IF(AND($B$3="Stage 3",OR($B$15="Year 10-11-12 Girls"),$B$5&gt;20),MAX(2,Setup!$B$14),Setup!$B$14)))))</f>
        <v>0</v>
      </c>
      <c r="BN34" s="20" t="b">
        <f>IF(AM34="",FALSE,AND(AM34&lt;&gt;IF(AND($B$3="Stage 3",OR($B$15="Year 8 Boys",$B$15="Year 9 Boys",$B$15="Year 10-11 Boys"),$B$8="One Keeper"),$E$4,""),AM34&lt;&gt;$B34,AM34&lt;&gt;$C33,IFERROR(INDEX($E$18:$E$30,MATCH(AM34,$B$18:$B$30,0)),"No")="Yes",COUNTIF($C$32:$C33,AM34)&lt;$B$6,COUNTIF($C$32:$C33,AM34)&lt;IF($B$3="Stage 1",MIN($B$6,MAX(1,INT($B$5/$B$11))),IF(AND($B$3="Stage 3",$B$5=20,$B$11&gt;11),1,IF(AND($B$3="Stage 3",OR($B$15="Year 10-11-12 Girls"),$B$5&gt;20),MAX(2,Setup!$B$14),Setup!$B$14)))))</f>
        <v>0</v>
      </c>
      <c r="BO34" s="20" t="b">
        <f>IF(AN34="",FALSE,AND(AN34&lt;&gt;IF(AND($B$3="Stage 3",OR($B$15="Year 8 Boys",$B$15="Year 9 Boys",$B$15="Year 10-11 Boys"),$B$8="One Keeper"),$E$4,""),AN34&lt;&gt;$B34,AN34&lt;&gt;$C33,IFERROR(INDEX($E$18:$E$30,MATCH(AN34,$B$18:$B$30,0)),"No")="Yes",COUNTIF($C$32:$C33,AN34)&lt;$B$6,COUNTIF($C$32:$C33,AN34)&lt;IF($B$3="Stage 1",MIN($B$6,MAX(1,INT($B$5/$B$11))),IF(AND($B$3="Stage 3",$B$5=20,$B$11&gt;11),1,IF(AND($B$3="Stage 3",OR($B$15="Year 10-11-12 Girls"),$B$5&gt;20),MAX(2,Setup!$B$14),Setup!$B$14)))))</f>
        <v>1</v>
      </c>
      <c r="BP34" s="20" t="b">
        <f>IF(AO34="",FALSE,AND(AO34&lt;&gt;IF(AND($B$3="Stage 3",OR($B$15="Year 8 Boys",$B$15="Year 9 Boys",$B$15="Year 10-11 Boys"),$B$8="One Keeper"),$E$4,""),AO34&lt;&gt;$B34,AO34&lt;&gt;$C33,IFERROR(INDEX($E$18:$E$30,MATCH(AO34,$B$18:$B$30,0)),"No")="Yes",COUNTIF($C$32:$C33,AO34)&lt;$B$6,COUNTIF($C$32:$C33,AO34)&lt;IF($B$3="Stage 1",MIN($B$6,MAX(1,INT($B$5/$B$11))),IF(AND($B$3="Stage 3",$B$5=20,$B$11&gt;11),1,IF(AND($B$3="Stage 3",OR($B$15="Year 10-11-12 Girls"),$B$5&gt;20),MAX(2,Setup!$B$14),Setup!$B$14)))))</f>
        <v>1</v>
      </c>
      <c r="BQ34" s="20" t="b">
        <f>IF(AP34="",FALSE,AND(AP34&lt;&gt;IF(AND($B$3="Stage 3",OR($B$15="Year 8 Boys",$B$15="Year 9 Boys",$B$15="Year 10-11 Boys"),$B$8="One Keeper"),$E$4,""),AP34&lt;&gt;$B34,AP34&lt;&gt;$C33,IFERROR(INDEX($E$18:$E$30,MATCH(AP34,$B$18:$B$30,0)),"No")="Yes",COUNTIF($C$32:$C33,AP34)&lt;$B$6,COUNTIF($C$32:$C33,AP34)&lt;IF($B$3="Stage 1",MIN($B$6,MAX(1,INT($B$5/$B$11))),IF(AND($B$3="Stage 3",$B$5=20,$B$11&gt;11),1,IF(AND($B$3="Stage 3",OR($B$15="Year 10-11-12 Girls"),$B$5&gt;20),MAX(2,Setup!$B$14),Setup!$B$14)))))</f>
        <v>1</v>
      </c>
      <c r="BR34" s="20" t="b">
        <f>IF(AQ34="",FALSE,AND(AQ34&lt;&gt;IF(AND($B$3="Stage 3",OR($B$15="Year 8 Boys",$B$15="Year 9 Boys",$B$15="Year 10-11 Boys"),$B$8="One Keeper"),$E$4,""),AQ34&lt;&gt;$B34,AQ34&lt;&gt;$C33,IFERROR(INDEX($E$18:$E$30,MATCH(AQ34,$B$18:$B$30,0)),"No")="Yes",COUNTIF($C$32:$C33,AQ34)&lt;$B$6,COUNTIF($C$32:$C33,AQ34)&lt;IF($B$3="Stage 1",MIN($B$6,MAX(1,INT($B$5/$B$11))),IF(AND($B$3="Stage 3",$B$5=20,$B$11&gt;11),1,IF(AND($B$3="Stage 3",OR($B$15="Year 10-11-12 Girls"),$B$5&gt;20),MAX(2,Setup!$B$14),Setup!$B$14)))))</f>
        <v>1</v>
      </c>
      <c r="BS34" s="20" t="b">
        <f>IF(AR34="",FALSE,AND(AR34&lt;&gt;IF(AND($B$3="Stage 3",OR($B$15="Year 8 Boys",$B$15="Year 9 Boys",$B$15="Year 10-11 Boys"),$B$8="One Keeper"),$E$4,""),AR34&lt;&gt;$B34,AR34&lt;&gt;$C33,IFERROR(INDEX($E$18:$E$30,MATCH(AR34,$B$18:$B$30,0)),"No")="Yes",COUNTIF($C$32:$C33,AR34)&lt;$B$6,COUNTIF($C$32:$C33,AR34)&lt;IF($B$3="Stage 1",MIN($B$6,MAX(1,INT($B$5/$B$11))),IF(AND($B$3="Stage 3",$B$5=20,$B$11&gt;11),1,IF(AND($B$3="Stage 3",OR($B$15="Year 10-11-12 Girls"),$B$5&gt;20),MAX(2,Setup!$B$14),Setup!$B$14)))))</f>
        <v>1</v>
      </c>
      <c r="BT34" s="20" t="b">
        <f>IF(AS34="",FALSE,AND(AS34&lt;&gt;IF(AND($B$3="Stage 3",OR($B$15="Year 8 Boys",$B$15="Year 9 Boys",$B$15="Year 10-11 Boys"),$B$8="One Keeper"),$E$4,""),AS34&lt;&gt;$B34,AS34&lt;&gt;$C33,IFERROR(INDEX($E$18:$E$30,MATCH(AS34,$B$18:$B$30,0)),"No")="Yes",COUNTIF($C$32:$C33,AS34)&lt;$B$6,COUNTIF($C$32:$C33,AS34)&lt;IF($B$3="Stage 1",MIN($B$6,MAX(1,INT($B$5/$B$11))),IF(AND($B$3="Stage 3",$B$5=20,$B$11&gt;11),1,IF(AND($B$3="Stage 3",OR($B$15="Year 10-11-12 Girls"),$B$5&gt;20),MAX(2,Setup!$B$14),Setup!$B$14)))))</f>
        <v>0</v>
      </c>
      <c r="BU34" s="20" t="b">
        <f>IF(AT34="",FALSE,AND(AT34&lt;&gt;IF(AND($B$3="Stage 3",OR($B$15="Year 8 Boys",$B$15="Year 9 Boys",$B$15="Year 10-11 Boys"),$B$8="One Keeper"),$E$4,""),AT34&lt;&gt;$B34,AT34&lt;&gt;$C33,IFERROR(INDEX($E$18:$E$30,MATCH(AT34,$B$18:$B$30,0)),"No")="Yes",COUNTIF($C$32:$C33,AT34)&lt;$B$6,COUNTIF($C$32:$C33,AT34)&lt;IF($B$3="Stage 1",MIN($B$6,MAX(1,INT($B$5/$B$11))),IF(AND($B$3="Stage 3",$B$5=20,$B$11&gt;11),1,IF(AND($B$3="Stage 3",OR($B$15="Year 10-11-12 Girls"),$B$5&gt;20),MAX(2,Setup!$B$14),Setup!$B$14)))))</f>
        <v>0</v>
      </c>
      <c r="BV34" s="20" t="b">
        <f>IF(AU34="",FALSE,AND(AU34&lt;&gt;IF(AND($B$3="Stage 3",OR($B$15="Year 8 Boys",$B$15="Year 9 Boys",$B$15="Year 10-11 Boys"),$B$8="One Keeper"),$E$4,""),AU34&lt;&gt;$B34,AU34&lt;&gt;$C33,IFERROR(INDEX($E$18:$E$30,MATCH(AU34,$B$18:$B$30,0)),"No")="Yes",COUNTIF($C$32:$C33,AU34)&lt;$B$6,COUNTIF($C$32:$C33,AU34)&lt;IF($B$3="Stage 1",MIN($B$6,MAX(1,INT($B$5/$B$11))),IF(AND($B$3="Stage 3",$B$5=20,$B$11&gt;11),1,IF(AND($B$3="Stage 3",OR($B$15="Year 10-11-12 Girls"),$B$5&gt;20),MAX(2,Setup!$B$14),Setup!$B$14)))))</f>
        <v>1</v>
      </c>
      <c r="BW34" s="20"/>
      <c r="BX34" s="20"/>
      <c r="BY34" s="20"/>
      <c r="BZ34" s="20"/>
      <c r="CA34" s="20"/>
      <c r="CB34" s="20"/>
      <c r="CC34" s="20"/>
      <c r="CD34" s="20"/>
      <c r="CE34" s="20"/>
      <c r="CF34" s="20"/>
      <c r="CG34" s="20"/>
      <c r="CH34" s="20"/>
      <c r="CI34" s="20"/>
      <c r="CJ34" s="20"/>
      <c r="CK34" s="20"/>
    </row>
    <row r="35" spans="1:89" ht="26.4" customHeight="1">
      <c r="A35" s="18">
        <v>4</v>
      </c>
      <c r="B35" s="18" t="str">
        <f t="shared" si="5"/>
        <v>Player 1</v>
      </c>
      <c r="C35" s="18" t="str">
        <f t="shared" si="6"/>
        <v>Player 2</v>
      </c>
      <c r="D35" s="18">
        <f t="shared" si="7"/>
        <v>7</v>
      </c>
      <c r="E35" s="18">
        <f>IF($C35="","",COUNTIF($C$32:C35,$C35))</f>
        <v>2</v>
      </c>
      <c r="F35" s="18" t="str">
        <f t="shared" si="8"/>
        <v/>
      </c>
      <c r="H35" s="18" t="str">
        <f t="shared" si="9"/>
        <v>Player 4</v>
      </c>
      <c r="I35" s="18">
        <f t="shared" si="10"/>
        <v>3</v>
      </c>
      <c r="J35" s="18" t="str">
        <f t="shared" si="11"/>
        <v>OK</v>
      </c>
      <c r="K35" s="18" t="str">
        <f>IF($H35="","",IF($B$3="Stage 1","",IF($B$10="Finals","Finals",IF($B$3="Stage 2",IF($B$5=20,IF($B$11=11,IF($I35&gt;=1,"OK","Needs 1+"),IF($I35&gt;=2,"OK","Needs 2")),IF($B$5=30,IF($I35&gt;=2,"OK","Needs 2"),IF($I35&gt;=Setup!$B$14,"OK","Below target"))),IF($B$3="Stage 3",IF(OR($B$15="Year 8 Boys",$B$15="Year 9 Boys",$B$15="Year 10-11 Boys"),"Team rule",IF($B$5=20,IF($B$11&gt;10,IF($I35&gt;=1,"OK","Needs 1+"),IF($I35&gt;=2,"OK","Needs 2")),IF($I35&gt;=MAX(2,Setup!$B$14),"OK","Needs "&amp;MAX(2,Setup!$B$14)))),"")))))</f>
        <v/>
      </c>
      <c r="L35" s="18" t="str">
        <f t="shared" si="12"/>
        <v>Yes</v>
      </c>
      <c r="M35" s="18" t="str">
        <f t="shared" si="13"/>
        <v/>
      </c>
      <c r="N35" s="18" t="str">
        <f t="shared" si="14"/>
        <v/>
      </c>
      <c r="T35" s="20">
        <f t="shared" si="15"/>
        <v>4</v>
      </c>
      <c r="U35" s="20" t="b">
        <f>IF(OR($B$3="Stage 2",AND($B$3="Stage 3",OR($B$15="Year 10-11-12 Girls"))),(IF(AND($P$18&lt;&gt;"",$P$18&lt;&gt;$E$4,COUNTIF($C$32:$C34,$P$18)&gt;=2),1,0)+IF(AND($P$19&lt;&gt;"",$P$19&lt;&gt;$E$4,COUNTIF($C$32:$C34,$P$19)&gt;=2),1,0)+IF(AND($P$20&lt;&gt;"",$P$20&lt;&gt;$E$4,COUNTIF($C$32:$C34,$P$20)&gt;=2),1,0)+IF(AND($P$21&lt;&gt;"",$P$21&lt;&gt;$E$4,COUNTIF($C$32:$C34,$P$21)&gt;=2),1,0)+IF(AND($P$22&lt;&gt;"",$P$22&lt;&gt;$E$4,COUNTIF($C$32:$C34,$P$22)&gt;=2),1,0)+IF(AND($P$23&lt;&gt;"",$P$23&lt;&gt;$E$4,COUNTIF($C$32:$C34,$P$23)&gt;=2),1,0)+IF(AND($P$24&lt;&gt;"",$P$24&lt;&gt;$E$4,COUNTIF($C$32:$C34,$P$24)&gt;=2),1,0)+IF(AND($P$25&lt;&gt;"",$P$25&lt;&gt;$E$4,COUNTIF($C$32:$C34,$P$25)&gt;=2),1,0)+IF(AND($P$26&lt;&gt;"",$P$26&lt;&gt;$E$4,COUNTIF($C$32:$C34,$P$26)&gt;=2),1,0)+IF(AND($P$27&lt;&gt;"",$P$27&lt;&gt;$E$4,COUNTIF($C$32:$C34,$P$27)&gt;=2),1,0)+IF(AND($P$28&lt;&gt;"",$P$28&lt;&gt;$E$4,COUNTIF($C$32:$C34,$P$28)&gt;=2),1,0)+IF(AND($P$29&lt;&gt;"",$P$29&lt;&gt;$E$4,COUNTIF($C$32:$C34,$P$29)&gt;=2),1,0)+IF(AND($P$30&lt;&gt;"",$P$30&lt;&gt;$E$4,COUNTIF($C$32:$C34,$P$30)&gt;=2),1,0))&gt;=MAX(0,$B$11-1),IF(AND($B$3="Stage 3",OR($B$15="Year 8 Boys",$B$15="Year 9 Boys",$B$15="Year 10-11 Boys")),(IF(AND($P$18&lt;&gt;"",COUNTIF($C$32:$C34,$P$18)&gt;=2),1,0)+IF(AND($P$19&lt;&gt;"",COUNTIF($C$32:$C34,$P$19)&gt;=2),1,0)+IF(AND($P$20&lt;&gt;"",COUNTIF($C$32:$C34,$P$20)&gt;=2),1,0)+IF(AND($P$21&lt;&gt;"",COUNTIF($C$32:$C34,$P$21)&gt;=2),1,0)+IF(AND($P$22&lt;&gt;"",COUNTIF($C$32:$C34,$P$22)&gt;=2),1,0)+IF(AND($P$23&lt;&gt;"",COUNTIF($C$32:$C34,$P$23)&gt;=2),1,0)+IF(AND($P$24&lt;&gt;"",COUNTIF($C$32:$C34,$P$24)&gt;=2),1,0)+IF(AND($P$25&lt;&gt;"",COUNTIF($C$32:$C34,$P$25)&gt;=2),1,0)+IF(AND($P$26&lt;&gt;"",COUNTIF($C$32:$C34,$P$26)&gt;=2),1,0)+IF(AND($P$27&lt;&gt;"",COUNTIF($C$32:$C34,$P$27)&gt;=2),1,0)+IF(AND($P$28&lt;&gt;"",COUNTIF($C$32:$C34,$P$28)&gt;=2),1,0)+IF(AND($P$29&lt;&gt;"",COUNTIF($C$32:$C34,$P$29)&gt;=2),1,0)+IF(AND($P$30&lt;&gt;"",COUNTIF($C$32:$C34,$P$30)&gt;=2),1,0))&gt;=7,TRUE))</f>
        <v>1</v>
      </c>
      <c r="V35" s="20">
        <f t="shared" si="16"/>
        <v>4</v>
      </c>
      <c r="W35" s="20">
        <f t="shared" si="16"/>
        <v>5</v>
      </c>
      <c r="X35" s="20">
        <f t="shared" si="16"/>
        <v>6</v>
      </c>
      <c r="Y35" s="20">
        <f t="shared" si="16"/>
        <v>7</v>
      </c>
      <c r="Z35" s="20">
        <f t="shared" si="16"/>
        <v>1</v>
      </c>
      <c r="AA35" s="20">
        <f t="shared" si="16"/>
        <v>2</v>
      </c>
      <c r="AB35" s="20">
        <f t="shared" si="16"/>
        <v>3</v>
      </c>
      <c r="AC35" s="20">
        <f t="shared" si="16"/>
        <v>4</v>
      </c>
      <c r="AD35" s="20">
        <f t="shared" si="16"/>
        <v>5</v>
      </c>
      <c r="AE35" s="20">
        <f t="shared" si="16"/>
        <v>6</v>
      </c>
      <c r="AF35" s="20">
        <f t="shared" si="16"/>
        <v>7</v>
      </c>
      <c r="AG35" s="20">
        <f t="shared" si="16"/>
        <v>1</v>
      </c>
      <c r="AH35" s="20">
        <f t="shared" si="16"/>
        <v>2</v>
      </c>
      <c r="AI35" s="20" t="str">
        <f t="shared" si="17"/>
        <v>Player 6</v>
      </c>
      <c r="AJ35" s="20" t="str">
        <f t="shared" si="18"/>
        <v>Player 7</v>
      </c>
      <c r="AK35" s="20" t="str">
        <f t="shared" si="19"/>
        <v>Player 1</v>
      </c>
      <c r="AL35" s="20" t="str">
        <f t="shared" si="20"/>
        <v>Player 2</v>
      </c>
      <c r="AM35" s="20" t="str">
        <f t="shared" si="21"/>
        <v>Player 3</v>
      </c>
      <c r="AN35" s="20" t="str">
        <f t="shared" si="22"/>
        <v>Player 4</v>
      </c>
      <c r="AO35" s="20" t="str">
        <f t="shared" si="23"/>
        <v>Player 5</v>
      </c>
      <c r="AP35" s="20" t="str">
        <f t="shared" si="24"/>
        <v>Player 6</v>
      </c>
      <c r="AQ35" s="20" t="str">
        <f t="shared" si="25"/>
        <v>Player 7</v>
      </c>
      <c r="AR35" s="20" t="str">
        <f t="shared" si="26"/>
        <v>Player 1</v>
      </c>
      <c r="AS35" s="20" t="str">
        <f t="shared" si="27"/>
        <v>Player 2</v>
      </c>
      <c r="AT35" s="20" t="str">
        <f t="shared" si="28"/>
        <v>Player 3</v>
      </c>
      <c r="AU35" s="20" t="str">
        <f t="shared" si="29"/>
        <v>Player 4</v>
      </c>
      <c r="AV35" s="20" t="b">
        <f>IF(AI35="",FALSE,AND(AI35&lt;&gt;$B35,AI35&lt;&gt;$C34,IFERROR(INDEX($E$18:$E$30,MATCH(AI35,$B$18:$B$30,0)),"No")="Yes",IF(AND(OR($B$3="Stage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Girls"))),$B$5&gt;20),MIN(3,MAX(2,Setup!$B$14)),2))*2),AI35=$E$5,IF(AND(OR($B$3="Stage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Girls"))),$B$5&gt;20),MIN(3,MAX(2,Setup!$B$14)),2))*2-1))),AI35=$E$4,TRUE)),COUNTIF($C$32:$C34,AI35)&lt;$B$6,IF($BI35,COUNTIF($C$32:$C34,AI35)&lt;IF($B$3="Stage 1",MIN($B$6,MAX(1,INT($B$5/$B$11))),IF(AND($B$3="Stage 3",$B$5=20,$B$11&gt;11),1,IF(AND($B$3="Stage 3",OR($B$15="Year 10-11-12 Girls"),$B$5&gt;20),MAX(2,Setup!$B$14),Setup!$B$14))),IF(AND($B$3&lt;&gt;"Stage 2",$B$3&lt;&gt;"Stage 3"),TRUE,IF($U35,TRUE,COUNTIF($C$32:$C34,AI35)&lt;IF(AND($B$3="Stage 2",$B$5=20,AI35=$E$5,$A35&lt;=IF($B$8="One Keeper",$B$5,$B$8)),2,IF(AND(OR($B$3="Stage 2",AND($B$3="Stage 3",OR($B$15="Year 10-11-12 Girls"))),AI35=$E$5,$A35&lt;=IF($B$8="One Keeper",$B$5,$B$8)),3,$B$9)))))))</f>
        <v>0</v>
      </c>
      <c r="AW35" s="20" t="b">
        <f>IF(AJ35="",FALSE,AND(AJ35&lt;&gt;$B35,AJ35&lt;&gt;$C34,IFERROR(INDEX($E$18:$E$30,MATCH(AJ35,$B$18:$B$30,0)),"No")="Yes",IF(AND(OR($B$3="Stage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Girls"))),$B$5&gt;20),MIN(3,MAX(2,Setup!$B$14)),2))*2),AJ35=$E$5,IF(AND(OR($B$3="Stage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Girls"))),$B$5&gt;20),MIN(3,MAX(2,Setup!$B$14)),2))*2-1))),AJ35=$E$4,TRUE)),COUNTIF($C$32:$C34,AJ35)&lt;$B$6,IF($BI35,COUNTIF($C$32:$C34,AJ35)&lt;IF($B$3="Stage 1",MIN($B$6,MAX(1,INT($B$5/$B$11))),IF(AND($B$3="Stage 3",$B$5=20,$B$11&gt;11),1,IF(AND($B$3="Stage 3",OR($B$15="Year 10-11-12 Girls"),$B$5&gt;20),MAX(2,Setup!$B$14),Setup!$B$14))),IF(AND($B$3&lt;&gt;"Stage 2",$B$3&lt;&gt;"Stage 3"),TRUE,IF($U35,TRUE,COUNTIF($C$32:$C34,AJ35)&lt;IF(AND($B$3="Stage 2",$B$5=20,AJ35=$E$5,$A35&lt;=IF($B$8="One Keeper",$B$5,$B$8)),2,IF(AND(OR($B$3="Stage 2",AND($B$3="Stage 3",OR($B$15="Year 10-11-12 Girls"))),AJ35=$E$5,$A35&lt;=IF($B$8="One Keeper",$B$5,$B$8)),3,$B$9)))))))</f>
        <v>0</v>
      </c>
      <c r="AX35" s="20" t="b">
        <f>IF(AK35="",FALSE,AND(AK35&lt;&gt;$B35,AK35&lt;&gt;$C34,IFERROR(INDEX($E$18:$E$30,MATCH(AK35,$B$18:$B$30,0)),"No")="Yes",IF(AND(OR($B$3="Stage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Girls"))),$B$5&gt;20),MIN(3,MAX(2,Setup!$B$14)),2))*2),AK35=$E$5,IF(AND(OR($B$3="Stage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Girls"))),$B$5&gt;20),MIN(3,MAX(2,Setup!$B$14)),2))*2-1))),AK35=$E$4,TRUE)),COUNTIF($C$32:$C34,AK35)&lt;$B$6,IF($BI35,COUNTIF($C$32:$C34,AK35)&lt;IF($B$3="Stage 1",MIN($B$6,MAX(1,INT($B$5/$B$11))),IF(AND($B$3="Stage 3",$B$5=20,$B$11&gt;11),1,IF(AND($B$3="Stage 3",OR($B$15="Year 10-11-12 Girls"),$B$5&gt;20),MAX(2,Setup!$B$14),Setup!$B$14))),IF(AND($B$3&lt;&gt;"Stage 2",$B$3&lt;&gt;"Stage 3"),TRUE,IF($U35,TRUE,COUNTIF($C$32:$C34,AK35)&lt;IF(AND($B$3="Stage 2",$B$5=20,AK35=$E$5,$A35&lt;=IF($B$8="One Keeper",$B$5,$B$8)),2,IF(AND(OR($B$3="Stage 2",AND($B$3="Stage 3",OR($B$15="Year 10-11-12 Girls"))),AK35=$E$5,$A35&lt;=IF($B$8="One Keeper",$B$5,$B$8)),3,$B$9)))))))</f>
        <v>0</v>
      </c>
      <c r="AY35" s="20" t="b">
        <f>IF(AL35="",FALSE,AND(AL35&lt;&gt;$B35,AL35&lt;&gt;$C34,IFERROR(INDEX($E$18:$E$30,MATCH(AL35,$B$18:$B$30,0)),"No")="Yes",IF(AND(OR($B$3="Stage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Girls"))),$B$5&gt;20),MIN(3,MAX(2,Setup!$B$14)),2))*2),AL35=$E$5,IF(AND(OR($B$3="Stage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Girls"))),$B$5&gt;20),MIN(3,MAX(2,Setup!$B$14)),2))*2-1))),AL35=$E$4,TRUE)),COUNTIF($C$32:$C34,AL35)&lt;$B$6,IF($BI35,COUNTIF($C$32:$C34,AL35)&lt;IF($B$3="Stage 1",MIN($B$6,MAX(1,INT($B$5/$B$11))),IF(AND($B$3="Stage 3",$B$5=20,$B$11&gt;11),1,IF(AND($B$3="Stage 3",OR($B$15="Year 10-11-12 Girls"),$B$5&gt;20),MAX(2,Setup!$B$14),Setup!$B$14))),IF(AND($B$3&lt;&gt;"Stage 2",$B$3&lt;&gt;"Stage 3"),TRUE,IF($U35,TRUE,COUNTIF($C$32:$C34,AL35)&lt;IF(AND($B$3="Stage 2",$B$5=20,AL35=$E$5,$A35&lt;=IF($B$8="One Keeper",$B$5,$B$8)),2,IF(AND(OR($B$3="Stage 2",AND($B$3="Stage 3",OR($B$15="Year 10-11-12 Girls"))),AL35=$E$5,$A35&lt;=IF($B$8="One Keeper",$B$5,$B$8)),3,$B$9)))))))</f>
        <v>1</v>
      </c>
      <c r="AZ35" s="20" t="b">
        <f>IF(AM35="",FALSE,AND(AM35&lt;&gt;$B35,AM35&lt;&gt;$C34,IFERROR(INDEX($E$18:$E$30,MATCH(AM35,$B$18:$B$30,0)),"No")="Yes",IF(AND(OR($B$3="Stage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Girls"))),$B$5&gt;20),MIN(3,MAX(2,Setup!$B$14)),2))*2),AM35=$E$5,IF(AND(OR($B$3="Stage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Girls"))),$B$5&gt;20),MIN(3,MAX(2,Setup!$B$14)),2))*2-1))),AM35=$E$4,TRUE)),COUNTIF($C$32:$C34,AM35)&lt;$B$6,IF($BI35,COUNTIF($C$32:$C34,AM35)&lt;IF($B$3="Stage 1",MIN($B$6,MAX(1,INT($B$5/$B$11))),IF(AND($B$3="Stage 3",$B$5=20,$B$11&gt;11),1,IF(AND($B$3="Stage 3",OR($B$15="Year 10-11-12 Girls"),$B$5&gt;20),MAX(2,Setup!$B$14),Setup!$B$14))),IF(AND($B$3&lt;&gt;"Stage 2",$B$3&lt;&gt;"Stage 3"),TRUE,IF($U35,TRUE,COUNTIF($C$32:$C34,AM35)&lt;IF(AND($B$3="Stage 2",$B$5=20,AM35=$E$5,$A35&lt;=IF($B$8="One Keeper",$B$5,$B$8)),2,IF(AND(OR($B$3="Stage 2",AND($B$3="Stage 3",OR($B$15="Year 10-11-12 Girls"))),AM35=$E$5,$A35&lt;=IF($B$8="One Keeper",$B$5,$B$8)),3,$B$9)))))))</f>
        <v>0</v>
      </c>
      <c r="BA35" s="20" t="b">
        <f>IF(AN35="",FALSE,AND(AN35&lt;&gt;$B35,AN35&lt;&gt;$C34,IFERROR(INDEX($E$18:$E$30,MATCH(AN35,$B$18:$B$30,0)),"No")="Yes",IF(AND(OR($B$3="Stage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Girls"))),$B$5&gt;20),MIN(3,MAX(2,Setup!$B$14)),2))*2),AN35=$E$5,IF(AND(OR($B$3="Stage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Girls"))),$B$5&gt;20),MIN(3,MAX(2,Setup!$B$14)),2))*2-1))),AN35=$E$4,TRUE)),COUNTIF($C$32:$C34,AN35)&lt;$B$6,IF($BI35,COUNTIF($C$32:$C34,AN35)&lt;IF($B$3="Stage 1",MIN($B$6,MAX(1,INT($B$5/$B$11))),IF(AND($B$3="Stage 3",$B$5=20,$B$11&gt;11),1,IF(AND($B$3="Stage 3",OR($B$15="Year 10-11-12 Girls"),$B$5&gt;20),MAX(2,Setup!$B$14),Setup!$B$14))),IF(AND($B$3&lt;&gt;"Stage 2",$B$3&lt;&gt;"Stage 3"),TRUE,IF($U35,TRUE,COUNTIF($C$32:$C34,AN35)&lt;IF(AND($B$3="Stage 2",$B$5=20,AN35=$E$5,$A35&lt;=IF($B$8="One Keeper",$B$5,$B$8)),2,IF(AND(OR($B$3="Stage 2",AND($B$3="Stage 3",OR($B$15="Year 10-11-12 Girls"))),AN35=$E$5,$A35&lt;=IF($B$8="One Keeper",$B$5,$B$8)),3,$B$9)))))))</f>
        <v>0</v>
      </c>
      <c r="BB35" s="20" t="b">
        <f>IF(AO35="",FALSE,AND(AO35&lt;&gt;$B35,AO35&lt;&gt;$C34,IFERROR(INDEX($E$18:$E$30,MATCH(AO35,$B$18:$B$30,0)),"No")="Yes",IF(AND(OR($B$3="Stage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Girls"))),$B$5&gt;20),MIN(3,MAX(2,Setup!$B$14)),2))*2),AO35=$E$5,IF(AND(OR($B$3="Stage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Girls"))),$B$5&gt;20),MIN(3,MAX(2,Setup!$B$14)),2))*2-1))),AO35=$E$4,TRUE)),COUNTIF($C$32:$C34,AO35)&lt;$B$6,IF($BI35,COUNTIF($C$32:$C34,AO35)&lt;IF($B$3="Stage 1",MIN($B$6,MAX(1,INT($B$5/$B$11))),IF(AND($B$3="Stage 3",$B$5=20,$B$11&gt;11),1,IF(AND($B$3="Stage 3",OR($B$15="Year 10-11-12 Girls"),$B$5&gt;20),MAX(2,Setup!$B$14),Setup!$B$14))),IF(AND($B$3&lt;&gt;"Stage 2",$B$3&lt;&gt;"Stage 3"),TRUE,IF($U35,TRUE,COUNTIF($C$32:$C34,AO35)&lt;IF(AND($B$3="Stage 2",$B$5=20,AO35=$E$5,$A35&lt;=IF($B$8="One Keeper",$B$5,$B$8)),2,IF(AND(OR($B$3="Stage 2",AND($B$3="Stage 3",OR($B$15="Year 10-11-12 Girls"))),AO35=$E$5,$A35&lt;=IF($B$8="One Keeper",$B$5,$B$8)),3,$B$9)))))))</f>
        <v>0</v>
      </c>
      <c r="BC35" s="20" t="b">
        <f>IF(AP35="",FALSE,AND(AP35&lt;&gt;$B35,AP35&lt;&gt;$C34,IFERROR(INDEX($E$18:$E$30,MATCH(AP35,$B$18:$B$30,0)),"No")="Yes",IF(AND(OR($B$3="Stage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Girls"))),$B$5&gt;20),MIN(3,MAX(2,Setup!$B$14)),2))*2),AP35=$E$5,IF(AND(OR($B$3="Stage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Girls"))),$B$5&gt;20),MIN(3,MAX(2,Setup!$B$14)),2))*2-1))),AP35=$E$4,TRUE)),COUNTIF($C$32:$C34,AP35)&lt;$B$6,IF($BI35,COUNTIF($C$32:$C34,AP35)&lt;IF($B$3="Stage 1",MIN($B$6,MAX(1,INT($B$5/$B$11))),IF(AND($B$3="Stage 3",$B$5=20,$B$11&gt;11),1,IF(AND($B$3="Stage 3",OR($B$15="Year 10-11-12 Girls"),$B$5&gt;20),MAX(2,Setup!$B$14),Setup!$B$14))),IF(AND($B$3&lt;&gt;"Stage 2",$B$3&lt;&gt;"Stage 3"),TRUE,IF($U35,TRUE,COUNTIF($C$32:$C34,AP35)&lt;IF(AND($B$3="Stage 2",$B$5=20,AP35=$E$5,$A35&lt;=IF($B$8="One Keeper",$B$5,$B$8)),2,IF(AND(OR($B$3="Stage 2",AND($B$3="Stage 3",OR($B$15="Year 10-11-12 Girls"))),AP35=$E$5,$A35&lt;=IF($B$8="One Keeper",$B$5,$B$8)),3,$B$9)))))))</f>
        <v>0</v>
      </c>
      <c r="BD35" s="20" t="b">
        <f>IF(AQ35="",FALSE,AND(AQ35&lt;&gt;$B35,AQ35&lt;&gt;$C34,IFERROR(INDEX($E$18:$E$30,MATCH(AQ35,$B$18:$B$30,0)),"No")="Yes",IF(AND(OR($B$3="Stage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Girls"))),$B$5&gt;20),MIN(3,MAX(2,Setup!$B$14)),2))*2),AQ35=$E$5,IF(AND(OR($B$3="Stage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Girls"))),$B$5&gt;20),MIN(3,MAX(2,Setup!$B$14)),2))*2-1))),AQ35=$E$4,TRUE)),COUNTIF($C$32:$C34,AQ35)&lt;$B$6,IF($BI35,COUNTIF($C$32:$C34,AQ35)&lt;IF($B$3="Stage 1",MIN($B$6,MAX(1,INT($B$5/$B$11))),IF(AND($B$3="Stage 3",$B$5=20,$B$11&gt;11),1,IF(AND($B$3="Stage 3",OR($B$15="Year 10-11-12 Girls"),$B$5&gt;20),MAX(2,Setup!$B$14),Setup!$B$14))),IF(AND($B$3&lt;&gt;"Stage 2",$B$3&lt;&gt;"Stage 3"),TRUE,IF($U35,TRUE,COUNTIF($C$32:$C34,AQ35)&lt;IF(AND($B$3="Stage 2",$B$5=20,AQ35=$E$5,$A35&lt;=IF($B$8="One Keeper",$B$5,$B$8)),2,IF(AND(OR($B$3="Stage 2",AND($B$3="Stage 3",OR($B$15="Year 10-11-12 Girls"))),AQ35=$E$5,$A35&lt;=IF($B$8="One Keeper",$B$5,$B$8)),3,$B$9)))))))</f>
        <v>0</v>
      </c>
      <c r="BE35" s="20" t="b">
        <f>IF(AR35="",FALSE,AND(AR35&lt;&gt;$B35,AR35&lt;&gt;$C34,IFERROR(INDEX($E$18:$E$30,MATCH(AR35,$B$18:$B$30,0)),"No")="Yes",IF(AND(OR($B$3="Stage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Girls"))),$B$5&gt;20),MIN(3,MAX(2,Setup!$B$14)),2))*2),AR35=$E$5,IF(AND(OR($B$3="Stage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Girls"))),$B$5&gt;20),MIN(3,MAX(2,Setup!$B$14)),2))*2-1))),AR35=$E$4,TRUE)),COUNTIF($C$32:$C34,AR35)&lt;$B$6,IF($BI35,COUNTIF($C$32:$C34,AR35)&lt;IF($B$3="Stage 1",MIN($B$6,MAX(1,INT($B$5/$B$11))),IF(AND($B$3="Stage 3",$B$5=20,$B$11&gt;11),1,IF(AND($B$3="Stage 3",OR($B$15="Year 10-11-12 Girls"),$B$5&gt;20),MAX(2,Setup!$B$14),Setup!$B$14))),IF(AND($B$3&lt;&gt;"Stage 2",$B$3&lt;&gt;"Stage 3"),TRUE,IF($U35,TRUE,COUNTIF($C$32:$C34,AR35)&lt;IF(AND($B$3="Stage 2",$B$5=20,AR35=$E$5,$A35&lt;=IF($B$8="One Keeper",$B$5,$B$8)),2,IF(AND(OR($B$3="Stage 2",AND($B$3="Stage 3",OR($B$15="Year 10-11-12 Girls"))),AR35=$E$5,$A35&lt;=IF($B$8="One Keeper",$B$5,$B$8)),3,$B$9)))))))</f>
        <v>0</v>
      </c>
      <c r="BF35" s="20" t="b">
        <f>IF(AS35="",FALSE,AND(AS35&lt;&gt;$B35,AS35&lt;&gt;$C34,IFERROR(INDEX($E$18:$E$30,MATCH(AS35,$B$18:$B$30,0)),"No")="Yes",IF(AND(OR($B$3="Stage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Girls"))),$B$5&gt;20),MIN(3,MAX(2,Setup!$B$14)),2))*2),AS35=$E$5,IF(AND(OR($B$3="Stage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Girls"))),$B$5&gt;20),MIN(3,MAX(2,Setup!$B$14)),2))*2-1))),AS35=$E$4,TRUE)),COUNTIF($C$32:$C34,AS35)&lt;$B$6,IF($BI35,COUNTIF($C$32:$C34,AS35)&lt;IF($B$3="Stage 1",MIN($B$6,MAX(1,INT($B$5/$B$11))),IF(AND($B$3="Stage 3",$B$5=20,$B$11&gt;11),1,IF(AND($B$3="Stage 3",OR($B$15="Year 10-11-12 Girls"),$B$5&gt;20),MAX(2,Setup!$B$14),Setup!$B$14))),IF(AND($B$3&lt;&gt;"Stage 2",$B$3&lt;&gt;"Stage 3"),TRUE,IF($U35,TRUE,COUNTIF($C$32:$C34,AS35)&lt;IF(AND($B$3="Stage 2",$B$5=20,AS35=$E$5,$A35&lt;=IF($B$8="One Keeper",$B$5,$B$8)),2,IF(AND(OR($B$3="Stage 2",AND($B$3="Stage 3",OR($B$15="Year 10-11-12 Girls"))),AS35=$E$5,$A35&lt;=IF($B$8="One Keeper",$B$5,$B$8)),3,$B$9)))))))</f>
        <v>1</v>
      </c>
      <c r="BG35" s="20" t="b">
        <f>IF(AT35="",FALSE,AND(AT35&lt;&gt;$B35,AT35&lt;&gt;$C34,IFERROR(INDEX($E$18:$E$30,MATCH(AT35,$B$18:$B$30,0)),"No")="Yes",IF(AND(OR($B$3="Stage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Girls"))),$B$5&gt;20),MIN(3,MAX(2,Setup!$B$14)),2))*2),AT35=$E$5,IF(AND(OR($B$3="Stage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Girls"))),$B$5&gt;20),MIN(3,MAX(2,Setup!$B$14)),2))*2-1))),AT35=$E$4,TRUE)),COUNTIF($C$32:$C34,AT35)&lt;$B$6,IF($BI35,COUNTIF($C$32:$C34,AT35)&lt;IF($B$3="Stage 1",MIN($B$6,MAX(1,INT($B$5/$B$11))),IF(AND($B$3="Stage 3",$B$5=20,$B$11&gt;11),1,IF(AND($B$3="Stage 3",OR($B$15="Year 10-11-12 Girls"),$B$5&gt;20),MAX(2,Setup!$B$14),Setup!$B$14))),IF(AND($B$3&lt;&gt;"Stage 2",$B$3&lt;&gt;"Stage 3"),TRUE,IF($U35,TRUE,COUNTIF($C$32:$C34,AT35)&lt;IF(AND($B$3="Stage 2",$B$5=20,AT35=$E$5,$A35&lt;=IF($B$8="One Keeper",$B$5,$B$8)),2,IF(AND(OR($B$3="Stage 2",AND($B$3="Stage 3",OR($B$15="Year 10-11-12 Girls"))),AT35=$E$5,$A35&lt;=IF($B$8="One Keeper",$B$5,$B$8)),3,$B$9)))))))</f>
        <v>0</v>
      </c>
      <c r="BH35" s="20" t="b">
        <f>IF(AU35="",FALSE,AND(AU35&lt;&gt;$B35,AU35&lt;&gt;$C34,IFERROR(INDEX($E$18:$E$30,MATCH(AU35,$B$18:$B$30,0)),"No")="Yes",IF(AND(OR($B$3="Stage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Girls"))),$B$5&gt;20),MIN(3,MAX(2,Setup!$B$14)),2))*2),AU35=$E$5,IF(AND(OR($B$3="Stage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Girls"))),$B$5&gt;20),MIN(3,MAX(2,Setup!$B$14)),2))*2-1))),AU35=$E$4,TRUE)),COUNTIF($C$32:$C34,AU35)&lt;$B$6,IF($BI35,COUNTIF($C$32:$C34,AU35)&lt;IF($B$3="Stage 1",MIN($B$6,MAX(1,INT($B$5/$B$11))),IF(AND($B$3="Stage 3",$B$5=20,$B$11&gt;11),1,IF(AND($B$3="Stage 3",OR($B$15="Year 10-11-12 Girls"),$B$5&gt;20),MAX(2,Setup!$B$14),Setup!$B$14))),IF(AND($B$3&lt;&gt;"Stage 2",$B$3&lt;&gt;"Stage 3"),TRUE,IF($U35,TRUE,COUNTIF($C$32:$C34,AU35)&lt;IF(AND($B$3="Stage 2",$B$5=20,AU35=$E$5,$A35&lt;=IF($B$8="One Keeper",$B$5,$B$8)),2,IF(AND(OR($B$3="Stage 2",AND($B$3="Stage 3",OR($B$15="Year 10-11-12 Girls"))),AU35=$E$5,$A35&lt;=IF($B$8="One Keeper",$B$5,$B$8)),3,$B$9)))))))</f>
        <v>0</v>
      </c>
      <c r="BI35"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Keeper",$E$4&lt;&gt;$E$5,$A35&lt;=IF($B$8="One Keeper",$B$5,$B$8),COUNTIF($C$32:$C34,$E$5)&lt;IF(AND($B$3="Stage 3",$B$5=20,$B$11&gt;11),1,IF(AND(OR($B$3="Stage 2",AND($B$3="Stage 3",OR($B$15="Year 10-11-12 Girls"))),$B$5&gt;20),MIN(3,MAX(2,Setup!$B$14)),2)),IFERROR(INDEX($E$18:$E$30,MATCH($E$5,$B$18:$B$30,0)),"No")="Yes",$C34&lt;&gt;$E$5,MOD($A35,2)=0,$A35&lt;=IF(AND($B$3="Stage 3",$B$5=20,$B$11&gt;11),1,IF(AND(OR($B$3="Stage 2",AND($B$3="Stage 3",OR($B$15="Year 10-11-12 Girls"))),$B$5&gt;20),MIN(3,MAX(2,Setup!$B$14)),2))*2),AND(OR($B$3="Stage 1",$B$3="Stage 2",AND($B$3="Stage 3",OR(OR($B$15="Year 10-11-12 Girls"),OR($B$15="Year 8 Boys",$B$15="Year 9 Boys",$B$15="Year 10-11 Boys")))),$B$8&lt;&gt;"One Keeper",$E$4&lt;&gt;$E$5,$A35&gt;IF($B$8="One Keeper",$B$5,$B$8),COUNTIF($C$32:$C34,$E$4)&lt;IF(AND($B$3="Stage 3",$B$5=20,$B$11&gt;11),1,IF(AND(OR($B$3="Stage 2",AND($B$3="Stage 3",OR($B$15="Year 10-11-12 Girls"))),$B$5&gt;20),MIN(3,MAX(2,Setup!$B$14)),2)),IFERROR(INDEX($E$18:$E$30,MATCH($E$4,$B$18:$B$30,0)),"No")="Yes",$C34&lt;&gt;$E$4,IF($B$7="Three-over spell",AND(MOD($A35-IF($B$8="One Keeper",$B$5,$B$8)-1,3)=0,($A35-IF($B$8="One Keeper",$B$5,$B$8))&lt;=1+(IF(AND($B$3="Stage 3",$B$5=20,$B$11&gt;11),1,IF(AND(OR($B$3="Stage 2",AND($B$3="Stage 3",OR($B$15="Year 10-11-12 Girls"))),$B$5&gt;20),MIN(3,MAX(2,Setup!$B$14)),2))-1)*3),AND(MOD($A35-IF($B$8="One Keeper",$B$5,$B$8),2)=1,($A35-IF($B$8="One Keeper",$B$5,$B$8))&lt;=IF(AND($B$3="Stage 3",$B$5=20,$B$11&gt;11),1,IF(AND(OR($B$3="Stage 2",AND($B$3="Stage 3",OR($B$15="Year 10-11-12 Girls"))),$B$5&gt;20),MIN(3,MAX(2,Setup!$B$14)),2))*2-1))))),OR($U35,AND($B$3="Stage 3",$B$5=20,$B$11&gt;11)),OR($BJ35,$BK35,$BL35,$BM35,$BN35,$BO35,$BP35,$BQ35,$BR35,$BS35,$BT35,$BU35,$BV35))</f>
        <v>0</v>
      </c>
      <c r="BJ35" s="20" t="b">
        <f>IF(AI35="",FALSE,AND(AI35&lt;&gt;IF(AND($B$3="Stage 3",OR($B$15="Year 8 Boys",$B$15="Year 9 Boys",$B$15="Year 10-11 Boys"),$B$8="One Keeper"),$E$4,""),AI35&lt;&gt;$B35,AI35&lt;&gt;$C34,IFERROR(INDEX($E$18:$E$30,MATCH(AI35,$B$18:$B$30,0)),"No")="Yes",COUNTIF($C$32:$C34,AI35)&lt;$B$6,COUNTIF($C$32:$C34,AI35)&lt;IF($B$3="Stage 1",MIN($B$6,MAX(1,INT($B$5/$B$11))),IF(AND($B$3="Stage 3",$B$5=20,$B$11&gt;11),1,IF(AND($B$3="Stage 3",OR($B$15="Year 10-11-12 Girls"),$B$5&gt;20),MAX(2,Setup!$B$14),Setup!$B$14)))))</f>
        <v>1</v>
      </c>
      <c r="BK35" s="20" t="b">
        <f>IF(AJ35="",FALSE,AND(AJ35&lt;&gt;IF(AND($B$3="Stage 3",OR($B$15="Year 8 Boys",$B$15="Year 9 Boys",$B$15="Year 10-11 Boys"),$B$8="One Keeper"),$E$4,""),AJ35&lt;&gt;$B35,AJ35&lt;&gt;$C34,IFERROR(INDEX($E$18:$E$30,MATCH(AJ35,$B$18:$B$30,0)),"No")="Yes",COUNTIF($C$32:$C34,AJ35)&lt;$B$6,COUNTIF($C$32:$C34,AJ35)&lt;IF($B$3="Stage 1",MIN($B$6,MAX(1,INT($B$5/$B$11))),IF(AND($B$3="Stage 3",$B$5=20,$B$11&gt;11),1,IF(AND($B$3="Stage 3",OR($B$15="Year 10-11-12 Girls"),$B$5&gt;20),MAX(2,Setup!$B$14),Setup!$B$14)))))</f>
        <v>1</v>
      </c>
      <c r="BL35" s="20" t="b">
        <f>IF(AK35="",FALSE,AND(AK35&lt;&gt;IF(AND($B$3="Stage 3",OR($B$15="Year 8 Boys",$B$15="Year 9 Boys",$B$15="Year 10-11 Boys"),$B$8="One Keeper"),$E$4,""),AK35&lt;&gt;$B35,AK35&lt;&gt;$C34,IFERROR(INDEX($E$18:$E$30,MATCH(AK35,$B$18:$B$30,0)),"No")="Yes",COUNTIF($C$32:$C34,AK35)&lt;$B$6,COUNTIF($C$32:$C34,AK35)&lt;IF($B$3="Stage 1",MIN($B$6,MAX(1,INT($B$5/$B$11))),IF(AND($B$3="Stage 3",$B$5=20,$B$11&gt;11),1,IF(AND($B$3="Stage 3",OR($B$15="Year 10-11-12 Girls"),$B$5&gt;20),MAX(2,Setup!$B$14),Setup!$B$14)))))</f>
        <v>0</v>
      </c>
      <c r="BM35" s="20" t="b">
        <f>IF(AL35="",FALSE,AND(AL35&lt;&gt;IF(AND($B$3="Stage 3",OR($B$15="Year 8 Boys",$B$15="Year 9 Boys",$B$15="Year 10-11 Boys"),$B$8="One Keeper"),$E$4,""),AL35&lt;&gt;$B35,AL35&lt;&gt;$C34,IFERROR(INDEX($E$18:$E$30,MATCH(AL35,$B$18:$B$30,0)),"No")="Yes",COUNTIF($C$32:$C34,AL35)&lt;$B$6,COUNTIF($C$32:$C34,AL35)&lt;IF($B$3="Stage 1",MIN($B$6,MAX(1,INT($B$5/$B$11))),IF(AND($B$3="Stage 3",$B$5=20,$B$11&gt;11),1,IF(AND($B$3="Stage 3",OR($B$15="Year 10-11-12 Girls"),$B$5&gt;20),MAX(2,Setup!$B$14),Setup!$B$14)))))</f>
        <v>1</v>
      </c>
      <c r="BN35" s="20" t="b">
        <f>IF(AM35="",FALSE,AND(AM35&lt;&gt;IF(AND($B$3="Stage 3",OR($B$15="Year 8 Boys",$B$15="Year 9 Boys",$B$15="Year 10-11 Boys"),$B$8="One Keeper"),$E$4,""),AM35&lt;&gt;$B35,AM35&lt;&gt;$C34,IFERROR(INDEX($E$18:$E$30,MATCH(AM35,$B$18:$B$30,0)),"No")="Yes",COUNTIF($C$32:$C34,AM35)&lt;$B$6,COUNTIF($C$32:$C34,AM35)&lt;IF($B$3="Stage 1",MIN($B$6,MAX(1,INT($B$5/$B$11))),IF(AND($B$3="Stage 3",$B$5=20,$B$11&gt;11),1,IF(AND($B$3="Stage 3",OR($B$15="Year 10-11-12 Girls"),$B$5&gt;20),MAX(2,Setup!$B$14),Setup!$B$14)))))</f>
        <v>1</v>
      </c>
      <c r="BO35" s="20" t="b">
        <f>IF(AN35="",FALSE,AND(AN35&lt;&gt;IF(AND($B$3="Stage 3",OR($B$15="Year 8 Boys",$B$15="Year 9 Boys",$B$15="Year 10-11 Boys"),$B$8="One Keeper"),$E$4,""),AN35&lt;&gt;$B35,AN35&lt;&gt;$C34,IFERROR(INDEX($E$18:$E$30,MATCH(AN35,$B$18:$B$30,0)),"No")="Yes",COUNTIF($C$32:$C34,AN35)&lt;$B$6,COUNTIF($C$32:$C34,AN35)&lt;IF($B$3="Stage 1",MIN($B$6,MAX(1,INT($B$5/$B$11))),IF(AND($B$3="Stage 3",$B$5=20,$B$11&gt;11),1,IF(AND($B$3="Stage 3",OR($B$15="Year 10-11-12 Girls"),$B$5&gt;20),MAX(2,Setup!$B$14),Setup!$B$14)))))</f>
        <v>1</v>
      </c>
      <c r="BP35" s="20" t="b">
        <f>IF(AO35="",FALSE,AND(AO35&lt;&gt;IF(AND($B$3="Stage 3",OR($B$15="Year 8 Boys",$B$15="Year 9 Boys",$B$15="Year 10-11 Boys"),$B$8="One Keeper"),$E$4,""),AO35&lt;&gt;$B35,AO35&lt;&gt;$C34,IFERROR(INDEX($E$18:$E$30,MATCH(AO35,$B$18:$B$30,0)),"No")="Yes",COUNTIF($C$32:$C34,AO35)&lt;$B$6,COUNTIF($C$32:$C34,AO35)&lt;IF($B$3="Stage 1",MIN($B$6,MAX(1,INT($B$5/$B$11))),IF(AND($B$3="Stage 3",$B$5=20,$B$11&gt;11),1,IF(AND($B$3="Stage 3",OR($B$15="Year 10-11-12 Girls"),$B$5&gt;20),MAX(2,Setup!$B$14),Setup!$B$14)))))</f>
        <v>0</v>
      </c>
      <c r="BQ35" s="20" t="b">
        <f>IF(AP35="",FALSE,AND(AP35&lt;&gt;IF(AND($B$3="Stage 3",OR($B$15="Year 8 Boys",$B$15="Year 9 Boys",$B$15="Year 10-11 Boys"),$B$8="One Keeper"),$E$4,""),AP35&lt;&gt;$B35,AP35&lt;&gt;$C34,IFERROR(INDEX($E$18:$E$30,MATCH(AP35,$B$18:$B$30,0)),"No")="Yes",COUNTIF($C$32:$C34,AP35)&lt;$B$6,COUNTIF($C$32:$C34,AP35)&lt;IF($B$3="Stage 1",MIN($B$6,MAX(1,INT($B$5/$B$11))),IF(AND($B$3="Stage 3",$B$5=20,$B$11&gt;11),1,IF(AND($B$3="Stage 3",OR($B$15="Year 10-11-12 Girls"),$B$5&gt;20),MAX(2,Setup!$B$14),Setup!$B$14)))))</f>
        <v>1</v>
      </c>
      <c r="BR35" s="20" t="b">
        <f>IF(AQ35="",FALSE,AND(AQ35&lt;&gt;IF(AND($B$3="Stage 3",OR($B$15="Year 8 Boys",$B$15="Year 9 Boys",$B$15="Year 10-11 Boys"),$B$8="One Keeper"),$E$4,""),AQ35&lt;&gt;$B35,AQ35&lt;&gt;$C34,IFERROR(INDEX($E$18:$E$30,MATCH(AQ35,$B$18:$B$30,0)),"No")="Yes",COUNTIF($C$32:$C34,AQ35)&lt;$B$6,COUNTIF($C$32:$C34,AQ35)&lt;IF($B$3="Stage 1",MIN($B$6,MAX(1,INT($B$5/$B$11))),IF(AND($B$3="Stage 3",$B$5=20,$B$11&gt;11),1,IF(AND($B$3="Stage 3",OR($B$15="Year 10-11-12 Girls"),$B$5&gt;20),MAX(2,Setup!$B$14),Setup!$B$14)))))</f>
        <v>1</v>
      </c>
      <c r="BS35" s="20" t="b">
        <f>IF(AR35="",FALSE,AND(AR35&lt;&gt;IF(AND($B$3="Stage 3",OR($B$15="Year 8 Boys",$B$15="Year 9 Boys",$B$15="Year 10-11 Boys"),$B$8="One Keeper"),$E$4,""),AR35&lt;&gt;$B35,AR35&lt;&gt;$C34,IFERROR(INDEX($E$18:$E$30,MATCH(AR35,$B$18:$B$30,0)),"No")="Yes",COUNTIF($C$32:$C34,AR35)&lt;$B$6,COUNTIF($C$32:$C34,AR35)&lt;IF($B$3="Stage 1",MIN($B$6,MAX(1,INT($B$5/$B$11))),IF(AND($B$3="Stage 3",$B$5=20,$B$11&gt;11),1,IF(AND($B$3="Stage 3",OR($B$15="Year 10-11-12 Girls"),$B$5&gt;20),MAX(2,Setup!$B$14),Setup!$B$14)))))</f>
        <v>0</v>
      </c>
      <c r="BT35" s="20" t="b">
        <f>IF(AS35="",FALSE,AND(AS35&lt;&gt;IF(AND($B$3="Stage 3",OR($B$15="Year 8 Boys",$B$15="Year 9 Boys",$B$15="Year 10-11 Boys"),$B$8="One Keeper"),$E$4,""),AS35&lt;&gt;$B35,AS35&lt;&gt;$C34,IFERROR(INDEX($E$18:$E$30,MATCH(AS35,$B$18:$B$30,0)),"No")="Yes",COUNTIF($C$32:$C34,AS35)&lt;$B$6,COUNTIF($C$32:$C34,AS35)&lt;IF($B$3="Stage 1",MIN($B$6,MAX(1,INT($B$5/$B$11))),IF(AND($B$3="Stage 3",$B$5=20,$B$11&gt;11),1,IF(AND($B$3="Stage 3",OR($B$15="Year 10-11-12 Girls"),$B$5&gt;20),MAX(2,Setup!$B$14),Setup!$B$14)))))</f>
        <v>1</v>
      </c>
      <c r="BU35" s="20" t="b">
        <f>IF(AT35="",FALSE,AND(AT35&lt;&gt;IF(AND($B$3="Stage 3",OR($B$15="Year 8 Boys",$B$15="Year 9 Boys",$B$15="Year 10-11 Boys"),$B$8="One Keeper"),$E$4,""),AT35&lt;&gt;$B35,AT35&lt;&gt;$C34,IFERROR(INDEX($E$18:$E$30,MATCH(AT35,$B$18:$B$30,0)),"No")="Yes",COUNTIF($C$32:$C34,AT35)&lt;$B$6,COUNTIF($C$32:$C34,AT35)&lt;IF($B$3="Stage 1",MIN($B$6,MAX(1,INT($B$5/$B$11))),IF(AND($B$3="Stage 3",$B$5=20,$B$11&gt;11),1,IF(AND($B$3="Stage 3",OR($B$15="Year 10-11-12 Girls"),$B$5&gt;20),MAX(2,Setup!$B$14),Setup!$B$14)))))</f>
        <v>1</v>
      </c>
      <c r="BV35" s="20" t="b">
        <f>IF(AU35="",FALSE,AND(AU35&lt;&gt;IF(AND($B$3="Stage 3",OR($B$15="Year 8 Boys",$B$15="Year 9 Boys",$B$15="Year 10-11 Boys"),$B$8="One Keeper"),$E$4,""),AU35&lt;&gt;$B35,AU35&lt;&gt;$C34,IFERROR(INDEX($E$18:$E$30,MATCH(AU35,$B$18:$B$30,0)),"No")="Yes",COUNTIF($C$32:$C34,AU35)&lt;$B$6,COUNTIF($C$32:$C34,AU35)&lt;IF($B$3="Stage 1",MIN($B$6,MAX(1,INT($B$5/$B$11))),IF(AND($B$3="Stage 3",$B$5=20,$B$11&gt;11),1,IF(AND($B$3="Stage 3",OR($B$15="Year 10-11-12 Girls"),$B$5&gt;20),MAX(2,Setup!$B$14),Setup!$B$14)))))</f>
        <v>1</v>
      </c>
      <c r="BW35" s="20"/>
      <c r="BX35" s="20"/>
      <c r="BY35" s="20"/>
      <c r="BZ35" s="20"/>
      <c r="CA35" s="20"/>
      <c r="CB35" s="20"/>
      <c r="CC35" s="20"/>
      <c r="CD35" s="20"/>
      <c r="CE35" s="20"/>
      <c r="CF35" s="20"/>
      <c r="CG35" s="20"/>
      <c r="CH35" s="20"/>
      <c r="CI35" s="20"/>
      <c r="CJ35" s="20"/>
      <c r="CK35" s="20"/>
    </row>
    <row r="36" spans="1:89" ht="26.4" customHeight="1">
      <c r="A36" s="18">
        <v>5</v>
      </c>
      <c r="B36" s="18" t="str">
        <f t="shared" si="5"/>
        <v>Player 1</v>
      </c>
      <c r="C36" s="18" t="str">
        <f t="shared" si="6"/>
        <v>Player 7</v>
      </c>
      <c r="D36" s="18">
        <f t="shared" si="7"/>
        <v>5</v>
      </c>
      <c r="E36" s="18">
        <f>IF($C36="","",COUNTIF($C$32:C36,$C36))</f>
        <v>1</v>
      </c>
      <c r="F36" s="18" t="str">
        <f t="shared" si="8"/>
        <v/>
      </c>
      <c r="H36" s="18" t="str">
        <f t="shared" si="9"/>
        <v>Player 5</v>
      </c>
      <c r="I36" s="18">
        <f t="shared" si="10"/>
        <v>3</v>
      </c>
      <c r="J36" s="18" t="str">
        <f t="shared" si="11"/>
        <v>OK</v>
      </c>
      <c r="K36" s="18" t="str">
        <f>IF($H36="","",IF($B$3="Stage 1","",IF($B$10="Finals","Finals",IF($B$3="Stage 2",IF($B$5=20,IF($B$11=11,IF($I36&gt;=1,"OK","Needs 1+"),IF($I36&gt;=2,"OK","Needs 2")),IF($B$5=30,IF($I36&gt;=2,"OK","Needs 2"),IF($I36&gt;=Setup!$B$14,"OK","Below target"))),IF($B$3="Stage 3",IF(OR($B$15="Year 8 Boys",$B$15="Year 9 Boys",$B$15="Year 10-11 Boys"),"Team rule",IF($B$5=20,IF($B$11&gt;10,IF($I36&gt;=1,"OK","Needs 1+"),IF($I36&gt;=2,"OK","Needs 2")),IF($I36&gt;=MAX(2,Setup!$B$14),"OK","Needs "&amp;MAX(2,Setup!$B$14)))),"")))))</f>
        <v/>
      </c>
      <c r="L36" s="18" t="str">
        <f t="shared" si="12"/>
        <v>Yes</v>
      </c>
      <c r="M36" s="18" t="str">
        <f t="shared" si="13"/>
        <v/>
      </c>
      <c r="N36" s="18" t="str">
        <f t="shared" si="14"/>
        <v/>
      </c>
      <c r="T36" s="20">
        <f t="shared" si="15"/>
        <v>5</v>
      </c>
      <c r="U36" s="20" t="b">
        <f>IF(OR($B$3="Stage 2",AND($B$3="Stage 3",OR($B$15="Year 10-11-12 Girls"))),(IF(AND($P$18&lt;&gt;"",$P$18&lt;&gt;$E$4,COUNTIF($C$32:$C35,$P$18)&gt;=2),1,0)+IF(AND($P$19&lt;&gt;"",$P$19&lt;&gt;$E$4,COUNTIF($C$32:$C35,$P$19)&gt;=2),1,0)+IF(AND($P$20&lt;&gt;"",$P$20&lt;&gt;$E$4,COUNTIF($C$32:$C35,$P$20)&gt;=2),1,0)+IF(AND($P$21&lt;&gt;"",$P$21&lt;&gt;$E$4,COUNTIF($C$32:$C35,$P$21)&gt;=2),1,0)+IF(AND($P$22&lt;&gt;"",$P$22&lt;&gt;$E$4,COUNTIF($C$32:$C35,$P$22)&gt;=2),1,0)+IF(AND($P$23&lt;&gt;"",$P$23&lt;&gt;$E$4,COUNTIF($C$32:$C35,$P$23)&gt;=2),1,0)+IF(AND($P$24&lt;&gt;"",$P$24&lt;&gt;$E$4,COUNTIF($C$32:$C35,$P$24)&gt;=2),1,0)+IF(AND($P$25&lt;&gt;"",$P$25&lt;&gt;$E$4,COUNTIF($C$32:$C35,$P$25)&gt;=2),1,0)+IF(AND($P$26&lt;&gt;"",$P$26&lt;&gt;$E$4,COUNTIF($C$32:$C35,$P$26)&gt;=2),1,0)+IF(AND($P$27&lt;&gt;"",$P$27&lt;&gt;$E$4,COUNTIF($C$32:$C35,$P$27)&gt;=2),1,0)+IF(AND($P$28&lt;&gt;"",$P$28&lt;&gt;$E$4,COUNTIF($C$32:$C35,$P$28)&gt;=2),1,0)+IF(AND($P$29&lt;&gt;"",$P$29&lt;&gt;$E$4,COUNTIF($C$32:$C35,$P$29)&gt;=2),1,0)+IF(AND($P$30&lt;&gt;"",$P$30&lt;&gt;$E$4,COUNTIF($C$32:$C35,$P$30)&gt;=2),1,0))&gt;=MAX(0,$B$11-1),IF(AND($B$3="Stage 3",OR($B$15="Year 8 Boys",$B$15="Year 9 Boys",$B$15="Year 10-11 Boys")),(IF(AND($P$18&lt;&gt;"",COUNTIF($C$32:$C35,$P$18)&gt;=2),1,0)+IF(AND($P$19&lt;&gt;"",COUNTIF($C$32:$C35,$P$19)&gt;=2),1,0)+IF(AND($P$20&lt;&gt;"",COUNTIF($C$32:$C35,$P$20)&gt;=2),1,0)+IF(AND($P$21&lt;&gt;"",COUNTIF($C$32:$C35,$P$21)&gt;=2),1,0)+IF(AND($P$22&lt;&gt;"",COUNTIF($C$32:$C35,$P$22)&gt;=2),1,0)+IF(AND($P$23&lt;&gt;"",COUNTIF($C$32:$C35,$P$23)&gt;=2),1,0)+IF(AND($P$24&lt;&gt;"",COUNTIF($C$32:$C35,$P$24)&gt;=2),1,0)+IF(AND($P$25&lt;&gt;"",COUNTIF($C$32:$C35,$P$25)&gt;=2),1,0)+IF(AND($P$26&lt;&gt;"",COUNTIF($C$32:$C35,$P$26)&gt;=2),1,0)+IF(AND($P$27&lt;&gt;"",COUNTIF($C$32:$C35,$P$27)&gt;=2),1,0)+IF(AND($P$28&lt;&gt;"",COUNTIF($C$32:$C35,$P$28)&gt;=2),1,0)+IF(AND($P$29&lt;&gt;"",COUNTIF($C$32:$C35,$P$29)&gt;=2),1,0)+IF(AND($P$30&lt;&gt;"",COUNTIF($C$32:$C35,$P$30)&gt;=2),1,0))&gt;=7,TRUE))</f>
        <v>1</v>
      </c>
      <c r="V36" s="20">
        <f t="shared" si="16"/>
        <v>5</v>
      </c>
      <c r="W36" s="20">
        <f t="shared" si="16"/>
        <v>6</v>
      </c>
      <c r="X36" s="20">
        <f t="shared" si="16"/>
        <v>7</v>
      </c>
      <c r="Y36" s="20">
        <f t="shared" si="16"/>
        <v>1</v>
      </c>
      <c r="Z36" s="20">
        <f t="shared" si="16"/>
        <v>2</v>
      </c>
      <c r="AA36" s="20">
        <f t="shared" si="16"/>
        <v>3</v>
      </c>
      <c r="AB36" s="20">
        <f t="shared" si="16"/>
        <v>4</v>
      </c>
      <c r="AC36" s="20">
        <f t="shared" si="16"/>
        <v>5</v>
      </c>
      <c r="AD36" s="20">
        <f t="shared" si="16"/>
        <v>6</v>
      </c>
      <c r="AE36" s="20">
        <f t="shared" si="16"/>
        <v>7</v>
      </c>
      <c r="AF36" s="20">
        <f t="shared" si="16"/>
        <v>1</v>
      </c>
      <c r="AG36" s="20">
        <f t="shared" si="16"/>
        <v>2</v>
      </c>
      <c r="AH36" s="20">
        <f t="shared" si="16"/>
        <v>3</v>
      </c>
      <c r="AI36" s="20" t="str">
        <f t="shared" si="17"/>
        <v>Player 7</v>
      </c>
      <c r="AJ36" s="20" t="str">
        <f t="shared" si="18"/>
        <v>Player 1</v>
      </c>
      <c r="AK36" s="20" t="str">
        <f t="shared" si="19"/>
        <v>Player 2</v>
      </c>
      <c r="AL36" s="20" t="str">
        <f t="shared" si="20"/>
        <v>Player 3</v>
      </c>
      <c r="AM36" s="20" t="str">
        <f t="shared" si="21"/>
        <v>Player 4</v>
      </c>
      <c r="AN36" s="20" t="str">
        <f t="shared" si="22"/>
        <v>Player 5</v>
      </c>
      <c r="AO36" s="20" t="str">
        <f t="shared" si="23"/>
        <v>Player 6</v>
      </c>
      <c r="AP36" s="20" t="str">
        <f t="shared" si="24"/>
        <v>Player 7</v>
      </c>
      <c r="AQ36" s="20" t="str">
        <f t="shared" si="25"/>
        <v>Player 1</v>
      </c>
      <c r="AR36" s="20" t="str">
        <f t="shared" si="26"/>
        <v>Player 2</v>
      </c>
      <c r="AS36" s="20" t="str">
        <f t="shared" si="27"/>
        <v>Player 3</v>
      </c>
      <c r="AT36" s="20" t="str">
        <f t="shared" si="28"/>
        <v>Player 4</v>
      </c>
      <c r="AU36" s="20" t="str">
        <f t="shared" si="29"/>
        <v>Player 5</v>
      </c>
      <c r="AV36" s="20" t="b">
        <f>IF(AI36="",FALSE,AND(AI36&lt;&gt;$B36,AI36&lt;&gt;$C35,IFERROR(INDEX($E$18:$E$30,MATCH(AI36,$B$18:$B$30,0)),"No")="Yes",IF(AND(OR($B$3="Stage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Girls"))),$B$5&gt;20),MIN(3,MAX(2,Setup!$B$14)),2))*2),AI36=$E$5,IF(AND(OR($B$3="Stage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Girls"))),$B$5&gt;20),MIN(3,MAX(2,Setup!$B$14)),2))*2-1))),AI36=$E$4,TRUE)),COUNTIF($C$32:$C35,AI36)&lt;$B$6,IF($BI36,COUNTIF($C$32:$C35,AI36)&lt;IF($B$3="Stage 1",MIN($B$6,MAX(1,INT($B$5/$B$11))),IF(AND($B$3="Stage 3",$B$5=20,$B$11&gt;11),1,IF(AND($B$3="Stage 3",OR($B$15="Year 10-11-12 Girls"),$B$5&gt;20),MAX(2,Setup!$B$14),Setup!$B$14))),IF(AND($B$3&lt;&gt;"Stage 2",$B$3&lt;&gt;"Stage 3"),TRUE,IF($U36,TRUE,COUNTIF($C$32:$C35,AI36)&lt;IF(AND($B$3="Stage 2",$B$5=20,AI36=$E$5,$A36&lt;=IF($B$8="One Keeper",$B$5,$B$8)),2,IF(AND(OR($B$3="Stage 2",AND($B$3="Stage 3",OR($B$15="Year 10-11-12 Girls"))),AI36=$E$5,$A36&lt;=IF($B$8="One Keeper",$B$5,$B$8)),3,$B$9)))))))</f>
        <v>1</v>
      </c>
      <c r="AW36" s="20" t="b">
        <f>IF(AJ36="",FALSE,AND(AJ36&lt;&gt;$B36,AJ36&lt;&gt;$C35,IFERROR(INDEX($E$18:$E$30,MATCH(AJ36,$B$18:$B$30,0)),"No")="Yes",IF(AND(OR($B$3="Stage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Girls"))),$B$5&gt;20),MIN(3,MAX(2,Setup!$B$14)),2))*2),AJ36=$E$5,IF(AND(OR($B$3="Stage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Girls"))),$B$5&gt;20),MIN(3,MAX(2,Setup!$B$14)),2))*2-1))),AJ36=$E$4,TRUE)),COUNTIF($C$32:$C35,AJ36)&lt;$B$6,IF($BI36,COUNTIF($C$32:$C35,AJ36)&lt;IF($B$3="Stage 1",MIN($B$6,MAX(1,INT($B$5/$B$11))),IF(AND($B$3="Stage 3",$B$5=20,$B$11&gt;11),1,IF(AND($B$3="Stage 3",OR($B$15="Year 10-11-12 Girls"),$B$5&gt;20),MAX(2,Setup!$B$14),Setup!$B$14))),IF(AND($B$3&lt;&gt;"Stage 2",$B$3&lt;&gt;"Stage 3"),TRUE,IF($U36,TRUE,COUNTIF($C$32:$C35,AJ36)&lt;IF(AND($B$3="Stage 2",$B$5=20,AJ36=$E$5,$A36&lt;=IF($B$8="One Keeper",$B$5,$B$8)),2,IF(AND(OR($B$3="Stage 2",AND($B$3="Stage 3",OR($B$15="Year 10-11-12 Girls"))),AJ36=$E$5,$A36&lt;=IF($B$8="One Keeper",$B$5,$B$8)),3,$B$9)))))))</f>
        <v>0</v>
      </c>
      <c r="AX36" s="20" t="b">
        <f>IF(AK36="",FALSE,AND(AK36&lt;&gt;$B36,AK36&lt;&gt;$C35,IFERROR(INDEX($E$18:$E$30,MATCH(AK36,$B$18:$B$30,0)),"No")="Yes",IF(AND(OR($B$3="Stage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Girls"))),$B$5&gt;20),MIN(3,MAX(2,Setup!$B$14)),2))*2),AK36=$E$5,IF(AND(OR($B$3="Stage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Girls"))),$B$5&gt;20),MIN(3,MAX(2,Setup!$B$14)),2))*2-1))),AK36=$E$4,TRUE)),COUNTIF($C$32:$C35,AK36)&lt;$B$6,IF($BI36,COUNTIF($C$32:$C35,AK36)&lt;IF($B$3="Stage 1",MIN($B$6,MAX(1,INT($B$5/$B$11))),IF(AND($B$3="Stage 3",$B$5=20,$B$11&gt;11),1,IF(AND($B$3="Stage 3",OR($B$15="Year 10-11-12 Girls"),$B$5&gt;20),MAX(2,Setup!$B$14),Setup!$B$14))),IF(AND($B$3&lt;&gt;"Stage 2",$B$3&lt;&gt;"Stage 3"),TRUE,IF($U36,TRUE,COUNTIF($C$32:$C35,AK36)&lt;IF(AND($B$3="Stage 2",$B$5=20,AK36=$E$5,$A36&lt;=IF($B$8="One Keeper",$B$5,$B$8)),2,IF(AND(OR($B$3="Stage 2",AND($B$3="Stage 3",OR($B$15="Year 10-11-12 Girls"))),AK36=$E$5,$A36&lt;=IF($B$8="One Keeper",$B$5,$B$8)),3,$B$9)))))))</f>
        <v>0</v>
      </c>
      <c r="AY36" s="20" t="b">
        <f>IF(AL36="",FALSE,AND(AL36&lt;&gt;$B36,AL36&lt;&gt;$C35,IFERROR(INDEX($E$18:$E$30,MATCH(AL36,$B$18:$B$30,0)),"No")="Yes",IF(AND(OR($B$3="Stage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Girls"))),$B$5&gt;20),MIN(3,MAX(2,Setup!$B$14)),2))*2),AL36=$E$5,IF(AND(OR($B$3="Stage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Girls"))),$B$5&gt;20),MIN(3,MAX(2,Setup!$B$14)),2))*2-1))),AL36=$E$4,TRUE)),COUNTIF($C$32:$C35,AL36)&lt;$B$6,IF($BI36,COUNTIF($C$32:$C35,AL36)&lt;IF($B$3="Stage 1",MIN($B$6,MAX(1,INT($B$5/$B$11))),IF(AND($B$3="Stage 3",$B$5=20,$B$11&gt;11),1,IF(AND($B$3="Stage 3",OR($B$15="Year 10-11-12 Girls"),$B$5&gt;20),MAX(2,Setup!$B$14),Setup!$B$14))),IF(AND($B$3&lt;&gt;"Stage 2",$B$3&lt;&gt;"Stage 3"),TRUE,IF($U36,TRUE,COUNTIF($C$32:$C35,AL36)&lt;IF(AND($B$3="Stage 2",$B$5=20,AL36=$E$5,$A36&lt;=IF($B$8="One Keeper",$B$5,$B$8)),2,IF(AND(OR($B$3="Stage 2",AND($B$3="Stage 3",OR($B$15="Year 10-11-12 Girls"))),AL36=$E$5,$A36&lt;=IF($B$8="One Keeper",$B$5,$B$8)),3,$B$9)))))))</f>
        <v>1</v>
      </c>
      <c r="AZ36" s="20" t="b">
        <f>IF(AM36="",FALSE,AND(AM36&lt;&gt;$B36,AM36&lt;&gt;$C35,IFERROR(INDEX($E$18:$E$30,MATCH(AM36,$B$18:$B$30,0)),"No")="Yes",IF(AND(OR($B$3="Stage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Girls"))),$B$5&gt;20),MIN(3,MAX(2,Setup!$B$14)),2))*2),AM36=$E$5,IF(AND(OR($B$3="Stage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Girls"))),$B$5&gt;20),MIN(3,MAX(2,Setup!$B$14)),2))*2-1))),AM36=$E$4,TRUE)),COUNTIF($C$32:$C35,AM36)&lt;$B$6,IF($BI36,COUNTIF($C$32:$C35,AM36)&lt;IF($B$3="Stage 1",MIN($B$6,MAX(1,INT($B$5/$B$11))),IF(AND($B$3="Stage 3",$B$5=20,$B$11&gt;11),1,IF(AND($B$3="Stage 3",OR($B$15="Year 10-11-12 Girls"),$B$5&gt;20),MAX(2,Setup!$B$14),Setup!$B$14))),IF(AND($B$3&lt;&gt;"Stage 2",$B$3&lt;&gt;"Stage 3"),TRUE,IF($U36,TRUE,COUNTIF($C$32:$C35,AM36)&lt;IF(AND($B$3="Stage 2",$B$5=20,AM36=$E$5,$A36&lt;=IF($B$8="One Keeper",$B$5,$B$8)),2,IF(AND(OR($B$3="Stage 2",AND($B$3="Stage 3",OR($B$15="Year 10-11-12 Girls"))),AM36=$E$5,$A36&lt;=IF($B$8="One Keeper",$B$5,$B$8)),3,$B$9)))))))</f>
        <v>1</v>
      </c>
      <c r="BA36" s="20" t="b">
        <f>IF(AN36="",FALSE,AND(AN36&lt;&gt;$B36,AN36&lt;&gt;$C35,IFERROR(INDEX($E$18:$E$30,MATCH(AN36,$B$18:$B$30,0)),"No")="Yes",IF(AND(OR($B$3="Stage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Girls"))),$B$5&gt;20),MIN(3,MAX(2,Setup!$B$14)),2))*2),AN36=$E$5,IF(AND(OR($B$3="Stage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Girls"))),$B$5&gt;20),MIN(3,MAX(2,Setup!$B$14)),2))*2-1))),AN36=$E$4,TRUE)),COUNTIF($C$32:$C35,AN36)&lt;$B$6,IF($BI36,COUNTIF($C$32:$C35,AN36)&lt;IF($B$3="Stage 1",MIN($B$6,MAX(1,INT($B$5/$B$11))),IF(AND($B$3="Stage 3",$B$5=20,$B$11&gt;11),1,IF(AND($B$3="Stage 3",OR($B$15="Year 10-11-12 Girls"),$B$5&gt;20),MAX(2,Setup!$B$14),Setup!$B$14))),IF(AND($B$3&lt;&gt;"Stage 2",$B$3&lt;&gt;"Stage 3"),TRUE,IF($U36,TRUE,COUNTIF($C$32:$C35,AN36)&lt;IF(AND($B$3="Stage 2",$B$5=20,AN36=$E$5,$A36&lt;=IF($B$8="One Keeper",$B$5,$B$8)),2,IF(AND(OR($B$3="Stage 2",AND($B$3="Stage 3",OR($B$15="Year 10-11-12 Girls"))),AN36=$E$5,$A36&lt;=IF($B$8="One Keeper",$B$5,$B$8)),3,$B$9)))))))</f>
        <v>1</v>
      </c>
      <c r="BB36" s="20" t="b">
        <f>IF(AO36="",FALSE,AND(AO36&lt;&gt;$B36,AO36&lt;&gt;$C35,IFERROR(INDEX($E$18:$E$30,MATCH(AO36,$B$18:$B$30,0)),"No")="Yes",IF(AND(OR($B$3="Stage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Girls"))),$B$5&gt;20),MIN(3,MAX(2,Setup!$B$14)),2))*2),AO36=$E$5,IF(AND(OR($B$3="Stage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Girls"))),$B$5&gt;20),MIN(3,MAX(2,Setup!$B$14)),2))*2-1))),AO36=$E$4,TRUE)),COUNTIF($C$32:$C35,AO36)&lt;$B$6,IF($BI36,COUNTIF($C$32:$C35,AO36)&lt;IF($B$3="Stage 1",MIN($B$6,MAX(1,INT($B$5/$B$11))),IF(AND($B$3="Stage 3",$B$5=20,$B$11&gt;11),1,IF(AND($B$3="Stage 3",OR($B$15="Year 10-11-12 Girls"),$B$5&gt;20),MAX(2,Setup!$B$14),Setup!$B$14))),IF(AND($B$3&lt;&gt;"Stage 2",$B$3&lt;&gt;"Stage 3"),TRUE,IF($U36,TRUE,COUNTIF($C$32:$C35,AO36)&lt;IF(AND($B$3="Stage 2",$B$5=20,AO36=$E$5,$A36&lt;=IF($B$8="One Keeper",$B$5,$B$8)),2,IF(AND(OR($B$3="Stage 2",AND($B$3="Stage 3",OR($B$15="Year 10-11-12 Girls"))),AO36=$E$5,$A36&lt;=IF($B$8="One Keeper",$B$5,$B$8)),3,$B$9)))))))</f>
        <v>1</v>
      </c>
      <c r="BC36" s="20" t="b">
        <f>IF(AP36="",FALSE,AND(AP36&lt;&gt;$B36,AP36&lt;&gt;$C35,IFERROR(INDEX($E$18:$E$30,MATCH(AP36,$B$18:$B$30,0)),"No")="Yes",IF(AND(OR($B$3="Stage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Girls"))),$B$5&gt;20),MIN(3,MAX(2,Setup!$B$14)),2))*2),AP36=$E$5,IF(AND(OR($B$3="Stage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Girls"))),$B$5&gt;20),MIN(3,MAX(2,Setup!$B$14)),2))*2-1))),AP36=$E$4,TRUE)),COUNTIF($C$32:$C35,AP36)&lt;$B$6,IF($BI36,COUNTIF($C$32:$C35,AP36)&lt;IF($B$3="Stage 1",MIN($B$6,MAX(1,INT($B$5/$B$11))),IF(AND($B$3="Stage 3",$B$5=20,$B$11&gt;11),1,IF(AND($B$3="Stage 3",OR($B$15="Year 10-11-12 Girls"),$B$5&gt;20),MAX(2,Setup!$B$14),Setup!$B$14))),IF(AND($B$3&lt;&gt;"Stage 2",$B$3&lt;&gt;"Stage 3"),TRUE,IF($U36,TRUE,COUNTIF($C$32:$C35,AP36)&lt;IF(AND($B$3="Stage 2",$B$5=20,AP36=$E$5,$A36&lt;=IF($B$8="One Keeper",$B$5,$B$8)),2,IF(AND(OR($B$3="Stage 2",AND($B$3="Stage 3",OR($B$15="Year 10-11-12 Girls"))),AP36=$E$5,$A36&lt;=IF($B$8="One Keeper",$B$5,$B$8)),3,$B$9)))))))</f>
        <v>1</v>
      </c>
      <c r="BD36" s="20" t="b">
        <f>IF(AQ36="",FALSE,AND(AQ36&lt;&gt;$B36,AQ36&lt;&gt;$C35,IFERROR(INDEX($E$18:$E$30,MATCH(AQ36,$B$18:$B$30,0)),"No")="Yes",IF(AND(OR($B$3="Stage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Girls"))),$B$5&gt;20),MIN(3,MAX(2,Setup!$B$14)),2))*2),AQ36=$E$5,IF(AND(OR($B$3="Stage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Girls"))),$B$5&gt;20),MIN(3,MAX(2,Setup!$B$14)),2))*2-1))),AQ36=$E$4,TRUE)),COUNTIF($C$32:$C35,AQ36)&lt;$B$6,IF($BI36,COUNTIF($C$32:$C35,AQ36)&lt;IF($B$3="Stage 1",MIN($B$6,MAX(1,INT($B$5/$B$11))),IF(AND($B$3="Stage 3",$B$5=20,$B$11&gt;11),1,IF(AND($B$3="Stage 3",OR($B$15="Year 10-11-12 Girls"),$B$5&gt;20),MAX(2,Setup!$B$14),Setup!$B$14))),IF(AND($B$3&lt;&gt;"Stage 2",$B$3&lt;&gt;"Stage 3"),TRUE,IF($U36,TRUE,COUNTIF($C$32:$C35,AQ36)&lt;IF(AND($B$3="Stage 2",$B$5=20,AQ36=$E$5,$A36&lt;=IF($B$8="One Keeper",$B$5,$B$8)),2,IF(AND(OR($B$3="Stage 2",AND($B$3="Stage 3",OR($B$15="Year 10-11-12 Girls"))),AQ36=$E$5,$A36&lt;=IF($B$8="One Keeper",$B$5,$B$8)),3,$B$9)))))))</f>
        <v>0</v>
      </c>
      <c r="BE36" s="20" t="b">
        <f>IF(AR36="",FALSE,AND(AR36&lt;&gt;$B36,AR36&lt;&gt;$C35,IFERROR(INDEX($E$18:$E$30,MATCH(AR36,$B$18:$B$30,0)),"No")="Yes",IF(AND(OR($B$3="Stage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Girls"))),$B$5&gt;20),MIN(3,MAX(2,Setup!$B$14)),2))*2),AR36=$E$5,IF(AND(OR($B$3="Stage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Girls"))),$B$5&gt;20),MIN(3,MAX(2,Setup!$B$14)),2))*2-1))),AR36=$E$4,TRUE)),COUNTIF($C$32:$C35,AR36)&lt;$B$6,IF($BI36,COUNTIF($C$32:$C35,AR36)&lt;IF($B$3="Stage 1",MIN($B$6,MAX(1,INT($B$5/$B$11))),IF(AND($B$3="Stage 3",$B$5=20,$B$11&gt;11),1,IF(AND($B$3="Stage 3",OR($B$15="Year 10-11-12 Girls"),$B$5&gt;20),MAX(2,Setup!$B$14),Setup!$B$14))),IF(AND($B$3&lt;&gt;"Stage 2",$B$3&lt;&gt;"Stage 3"),TRUE,IF($U36,TRUE,COUNTIF($C$32:$C35,AR36)&lt;IF(AND($B$3="Stage 2",$B$5=20,AR36=$E$5,$A36&lt;=IF($B$8="One Keeper",$B$5,$B$8)),2,IF(AND(OR($B$3="Stage 2",AND($B$3="Stage 3",OR($B$15="Year 10-11-12 Girls"))),AR36=$E$5,$A36&lt;=IF($B$8="One Keeper",$B$5,$B$8)),3,$B$9)))))))</f>
        <v>0</v>
      </c>
      <c r="BF36" s="20" t="b">
        <f>IF(AS36="",FALSE,AND(AS36&lt;&gt;$B36,AS36&lt;&gt;$C35,IFERROR(INDEX($E$18:$E$30,MATCH(AS36,$B$18:$B$30,0)),"No")="Yes",IF(AND(OR($B$3="Stage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Girls"))),$B$5&gt;20),MIN(3,MAX(2,Setup!$B$14)),2))*2),AS36=$E$5,IF(AND(OR($B$3="Stage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Girls"))),$B$5&gt;20),MIN(3,MAX(2,Setup!$B$14)),2))*2-1))),AS36=$E$4,TRUE)),COUNTIF($C$32:$C35,AS36)&lt;$B$6,IF($BI36,COUNTIF($C$32:$C35,AS36)&lt;IF($B$3="Stage 1",MIN($B$6,MAX(1,INT($B$5/$B$11))),IF(AND($B$3="Stage 3",$B$5=20,$B$11&gt;11),1,IF(AND($B$3="Stage 3",OR($B$15="Year 10-11-12 Girls"),$B$5&gt;20),MAX(2,Setup!$B$14),Setup!$B$14))),IF(AND($B$3&lt;&gt;"Stage 2",$B$3&lt;&gt;"Stage 3"),TRUE,IF($U36,TRUE,COUNTIF($C$32:$C35,AS36)&lt;IF(AND($B$3="Stage 2",$B$5=20,AS36=$E$5,$A36&lt;=IF($B$8="One Keeper",$B$5,$B$8)),2,IF(AND(OR($B$3="Stage 2",AND($B$3="Stage 3",OR($B$15="Year 10-11-12 Girls"))),AS36=$E$5,$A36&lt;=IF($B$8="One Keeper",$B$5,$B$8)),3,$B$9)))))))</f>
        <v>1</v>
      </c>
      <c r="BG36" s="20" t="b">
        <f>IF(AT36="",FALSE,AND(AT36&lt;&gt;$B36,AT36&lt;&gt;$C35,IFERROR(INDEX($E$18:$E$30,MATCH(AT36,$B$18:$B$30,0)),"No")="Yes",IF(AND(OR($B$3="Stage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Girls"))),$B$5&gt;20),MIN(3,MAX(2,Setup!$B$14)),2))*2),AT36=$E$5,IF(AND(OR($B$3="Stage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Girls"))),$B$5&gt;20),MIN(3,MAX(2,Setup!$B$14)),2))*2-1))),AT36=$E$4,TRUE)),COUNTIF($C$32:$C35,AT36)&lt;$B$6,IF($BI36,COUNTIF($C$32:$C35,AT36)&lt;IF($B$3="Stage 1",MIN($B$6,MAX(1,INT($B$5/$B$11))),IF(AND($B$3="Stage 3",$B$5=20,$B$11&gt;11),1,IF(AND($B$3="Stage 3",OR($B$15="Year 10-11-12 Girls"),$B$5&gt;20),MAX(2,Setup!$B$14),Setup!$B$14))),IF(AND($B$3&lt;&gt;"Stage 2",$B$3&lt;&gt;"Stage 3"),TRUE,IF($U36,TRUE,COUNTIF($C$32:$C35,AT36)&lt;IF(AND($B$3="Stage 2",$B$5=20,AT36=$E$5,$A36&lt;=IF($B$8="One Keeper",$B$5,$B$8)),2,IF(AND(OR($B$3="Stage 2",AND($B$3="Stage 3",OR($B$15="Year 10-11-12 Girls"))),AT36=$E$5,$A36&lt;=IF($B$8="One Keeper",$B$5,$B$8)),3,$B$9)))))))</f>
        <v>1</v>
      </c>
      <c r="BH36" s="20" t="b">
        <f>IF(AU36="",FALSE,AND(AU36&lt;&gt;$B36,AU36&lt;&gt;$C35,IFERROR(INDEX($E$18:$E$30,MATCH(AU36,$B$18:$B$30,0)),"No")="Yes",IF(AND(OR($B$3="Stage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Girls"))),$B$5&gt;20),MIN(3,MAX(2,Setup!$B$14)),2))*2),AU36=$E$5,IF(AND(OR($B$3="Stage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Girls"))),$B$5&gt;20),MIN(3,MAX(2,Setup!$B$14)),2))*2-1))),AU36=$E$4,TRUE)),COUNTIF($C$32:$C35,AU36)&lt;$B$6,IF($BI36,COUNTIF($C$32:$C35,AU36)&lt;IF($B$3="Stage 1",MIN($B$6,MAX(1,INT($B$5/$B$11))),IF(AND($B$3="Stage 3",$B$5=20,$B$11&gt;11),1,IF(AND($B$3="Stage 3",OR($B$15="Year 10-11-12 Girls"),$B$5&gt;20),MAX(2,Setup!$B$14),Setup!$B$14))),IF(AND($B$3&lt;&gt;"Stage 2",$B$3&lt;&gt;"Stage 3"),TRUE,IF($U36,TRUE,COUNTIF($C$32:$C35,AU36)&lt;IF(AND($B$3="Stage 2",$B$5=20,AU36=$E$5,$A36&lt;=IF($B$8="One Keeper",$B$5,$B$8)),2,IF(AND(OR($B$3="Stage 2",AND($B$3="Stage 3",OR($B$15="Year 10-11-12 Girls"))),AU36=$E$5,$A36&lt;=IF($B$8="One Keeper",$B$5,$B$8)),3,$B$9)))))))</f>
        <v>1</v>
      </c>
      <c r="BI36"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Keeper",$E$4&lt;&gt;$E$5,$A36&lt;=IF($B$8="One Keeper",$B$5,$B$8),COUNTIF($C$32:$C35,$E$5)&lt;IF(AND($B$3="Stage 3",$B$5=20,$B$11&gt;11),1,IF(AND(OR($B$3="Stage 2",AND($B$3="Stage 3",OR($B$15="Year 10-11-12 Girls"))),$B$5&gt;20),MIN(3,MAX(2,Setup!$B$14)),2)),IFERROR(INDEX($E$18:$E$30,MATCH($E$5,$B$18:$B$30,0)),"No")="Yes",$C35&lt;&gt;$E$5,MOD($A36,2)=0,$A36&lt;=IF(AND($B$3="Stage 3",$B$5=20,$B$11&gt;11),1,IF(AND(OR($B$3="Stage 2",AND($B$3="Stage 3",OR($B$15="Year 10-11-12 Girls"))),$B$5&gt;20),MIN(3,MAX(2,Setup!$B$14)),2))*2),AND(OR($B$3="Stage 1",$B$3="Stage 2",AND($B$3="Stage 3",OR(OR($B$15="Year 10-11-12 Girls"),OR($B$15="Year 8 Boys",$B$15="Year 9 Boys",$B$15="Year 10-11 Boys")))),$B$8&lt;&gt;"One Keeper",$E$4&lt;&gt;$E$5,$A36&gt;IF($B$8="One Keeper",$B$5,$B$8),COUNTIF($C$32:$C35,$E$4)&lt;IF(AND($B$3="Stage 3",$B$5=20,$B$11&gt;11),1,IF(AND(OR($B$3="Stage 2",AND($B$3="Stage 3",OR($B$15="Year 10-11-12 Girls"))),$B$5&gt;20),MIN(3,MAX(2,Setup!$B$14)),2)),IFERROR(INDEX($E$18:$E$30,MATCH($E$4,$B$18:$B$30,0)),"No")="Yes",$C35&lt;&gt;$E$4,IF($B$7="Three-over spell",AND(MOD($A36-IF($B$8="One Keeper",$B$5,$B$8)-1,3)=0,($A36-IF($B$8="One Keeper",$B$5,$B$8))&lt;=1+(IF(AND($B$3="Stage 3",$B$5=20,$B$11&gt;11),1,IF(AND(OR($B$3="Stage 2",AND($B$3="Stage 3",OR($B$15="Year 10-11-12 Girls"))),$B$5&gt;20),MIN(3,MAX(2,Setup!$B$14)),2))-1)*3),AND(MOD($A36-IF($B$8="One Keeper",$B$5,$B$8),2)=1,($A36-IF($B$8="One Keeper",$B$5,$B$8))&lt;=IF(AND($B$3="Stage 3",$B$5=20,$B$11&gt;11),1,IF(AND(OR($B$3="Stage 2",AND($B$3="Stage 3",OR($B$15="Year 10-11-12 Girls"))),$B$5&gt;20),MIN(3,MAX(2,Setup!$B$14)),2))*2-1))))),OR($U36,AND($B$3="Stage 3",$B$5=20,$B$11&gt;11)),OR($BJ36,$BK36,$BL36,$BM36,$BN36,$BO36,$BP36,$BQ36,$BR36,$BS36,$BT36,$BU36,$BV36))</f>
        <v>1</v>
      </c>
      <c r="BJ36" s="20" t="b">
        <f>IF(AI36="",FALSE,AND(AI36&lt;&gt;IF(AND($B$3="Stage 3",OR($B$15="Year 8 Boys",$B$15="Year 9 Boys",$B$15="Year 10-11 Boys"),$B$8="One Keeper"),$E$4,""),AI36&lt;&gt;$B36,AI36&lt;&gt;$C35,IFERROR(INDEX($E$18:$E$30,MATCH(AI36,$B$18:$B$30,0)),"No")="Yes",COUNTIF($C$32:$C35,AI36)&lt;$B$6,COUNTIF($C$32:$C35,AI36)&lt;IF($B$3="Stage 1",MIN($B$6,MAX(1,INT($B$5/$B$11))),IF(AND($B$3="Stage 3",$B$5=20,$B$11&gt;11),1,IF(AND($B$3="Stage 3",OR($B$15="Year 10-11-12 Girls"),$B$5&gt;20),MAX(2,Setup!$B$14),Setup!$B$14)))))</f>
        <v>1</v>
      </c>
      <c r="BK36" s="20" t="b">
        <f>IF(AJ36="",FALSE,AND(AJ36&lt;&gt;IF(AND($B$3="Stage 3",OR($B$15="Year 8 Boys",$B$15="Year 9 Boys",$B$15="Year 10-11 Boys"),$B$8="One Keeper"),$E$4,""),AJ36&lt;&gt;$B36,AJ36&lt;&gt;$C35,IFERROR(INDEX($E$18:$E$30,MATCH(AJ36,$B$18:$B$30,0)),"No")="Yes",COUNTIF($C$32:$C35,AJ36)&lt;$B$6,COUNTIF($C$32:$C35,AJ36)&lt;IF($B$3="Stage 1",MIN($B$6,MAX(1,INT($B$5/$B$11))),IF(AND($B$3="Stage 3",$B$5=20,$B$11&gt;11),1,IF(AND($B$3="Stage 3",OR($B$15="Year 10-11-12 Girls"),$B$5&gt;20),MAX(2,Setup!$B$14),Setup!$B$14)))))</f>
        <v>0</v>
      </c>
      <c r="BL36" s="20" t="b">
        <f>IF(AK36="",FALSE,AND(AK36&lt;&gt;IF(AND($B$3="Stage 3",OR($B$15="Year 8 Boys",$B$15="Year 9 Boys",$B$15="Year 10-11 Boys"),$B$8="One Keeper"),$E$4,""),AK36&lt;&gt;$B36,AK36&lt;&gt;$C35,IFERROR(INDEX($E$18:$E$30,MATCH(AK36,$B$18:$B$30,0)),"No")="Yes",COUNTIF($C$32:$C35,AK36)&lt;$B$6,COUNTIF($C$32:$C35,AK36)&lt;IF($B$3="Stage 1",MIN($B$6,MAX(1,INT($B$5/$B$11))),IF(AND($B$3="Stage 3",$B$5=20,$B$11&gt;11),1,IF(AND($B$3="Stage 3",OR($B$15="Year 10-11-12 Girls"),$B$5&gt;20),MAX(2,Setup!$B$14),Setup!$B$14)))))</f>
        <v>0</v>
      </c>
      <c r="BM36" s="20" t="b">
        <f>IF(AL36="",FALSE,AND(AL36&lt;&gt;IF(AND($B$3="Stage 3",OR($B$15="Year 8 Boys",$B$15="Year 9 Boys",$B$15="Year 10-11 Boys"),$B$8="One Keeper"),$E$4,""),AL36&lt;&gt;$B36,AL36&lt;&gt;$C35,IFERROR(INDEX($E$18:$E$30,MATCH(AL36,$B$18:$B$30,0)),"No")="Yes",COUNTIF($C$32:$C35,AL36)&lt;$B$6,COUNTIF($C$32:$C35,AL36)&lt;IF($B$3="Stage 1",MIN($B$6,MAX(1,INT($B$5/$B$11))),IF(AND($B$3="Stage 3",$B$5=20,$B$11&gt;11),1,IF(AND($B$3="Stage 3",OR($B$15="Year 10-11-12 Girls"),$B$5&gt;20),MAX(2,Setup!$B$14),Setup!$B$14)))))</f>
        <v>1</v>
      </c>
      <c r="BN36" s="20" t="b">
        <f>IF(AM36="",FALSE,AND(AM36&lt;&gt;IF(AND($B$3="Stage 3",OR($B$15="Year 8 Boys",$B$15="Year 9 Boys",$B$15="Year 10-11 Boys"),$B$8="One Keeper"),$E$4,""),AM36&lt;&gt;$B36,AM36&lt;&gt;$C35,IFERROR(INDEX($E$18:$E$30,MATCH(AM36,$B$18:$B$30,0)),"No")="Yes",COUNTIF($C$32:$C35,AM36)&lt;$B$6,COUNTIF($C$32:$C35,AM36)&lt;IF($B$3="Stage 1",MIN($B$6,MAX(1,INT($B$5/$B$11))),IF(AND($B$3="Stage 3",$B$5=20,$B$11&gt;11),1,IF(AND($B$3="Stage 3",OR($B$15="Year 10-11-12 Girls"),$B$5&gt;20),MAX(2,Setup!$B$14),Setup!$B$14)))))</f>
        <v>1</v>
      </c>
      <c r="BO36" s="20" t="b">
        <f>IF(AN36="",FALSE,AND(AN36&lt;&gt;IF(AND($B$3="Stage 3",OR($B$15="Year 8 Boys",$B$15="Year 9 Boys",$B$15="Year 10-11 Boys"),$B$8="One Keeper"),$E$4,""),AN36&lt;&gt;$B36,AN36&lt;&gt;$C35,IFERROR(INDEX($E$18:$E$30,MATCH(AN36,$B$18:$B$30,0)),"No")="Yes",COUNTIF($C$32:$C35,AN36)&lt;$B$6,COUNTIF($C$32:$C35,AN36)&lt;IF($B$3="Stage 1",MIN($B$6,MAX(1,INT($B$5/$B$11))),IF(AND($B$3="Stage 3",$B$5=20,$B$11&gt;11),1,IF(AND($B$3="Stage 3",OR($B$15="Year 10-11-12 Girls"),$B$5&gt;20),MAX(2,Setup!$B$14),Setup!$B$14)))))</f>
        <v>1</v>
      </c>
      <c r="BP36" s="20" t="b">
        <f>IF(AO36="",FALSE,AND(AO36&lt;&gt;IF(AND($B$3="Stage 3",OR($B$15="Year 8 Boys",$B$15="Year 9 Boys",$B$15="Year 10-11 Boys"),$B$8="One Keeper"),$E$4,""),AO36&lt;&gt;$B36,AO36&lt;&gt;$C35,IFERROR(INDEX($E$18:$E$30,MATCH(AO36,$B$18:$B$30,0)),"No")="Yes",COUNTIF($C$32:$C35,AO36)&lt;$B$6,COUNTIF($C$32:$C35,AO36)&lt;IF($B$3="Stage 1",MIN($B$6,MAX(1,INT($B$5/$B$11))),IF(AND($B$3="Stage 3",$B$5=20,$B$11&gt;11),1,IF(AND($B$3="Stage 3",OR($B$15="Year 10-11-12 Girls"),$B$5&gt;20),MAX(2,Setup!$B$14),Setup!$B$14)))))</f>
        <v>1</v>
      </c>
      <c r="BQ36" s="20" t="b">
        <f>IF(AP36="",FALSE,AND(AP36&lt;&gt;IF(AND($B$3="Stage 3",OR($B$15="Year 8 Boys",$B$15="Year 9 Boys",$B$15="Year 10-11 Boys"),$B$8="One Keeper"),$E$4,""),AP36&lt;&gt;$B36,AP36&lt;&gt;$C35,IFERROR(INDEX($E$18:$E$30,MATCH(AP36,$B$18:$B$30,0)),"No")="Yes",COUNTIF($C$32:$C35,AP36)&lt;$B$6,COUNTIF($C$32:$C35,AP36)&lt;IF($B$3="Stage 1",MIN($B$6,MAX(1,INT($B$5/$B$11))),IF(AND($B$3="Stage 3",$B$5=20,$B$11&gt;11),1,IF(AND($B$3="Stage 3",OR($B$15="Year 10-11-12 Girls"),$B$5&gt;20),MAX(2,Setup!$B$14),Setup!$B$14)))))</f>
        <v>1</v>
      </c>
      <c r="BR36" s="20" t="b">
        <f>IF(AQ36="",FALSE,AND(AQ36&lt;&gt;IF(AND($B$3="Stage 3",OR($B$15="Year 8 Boys",$B$15="Year 9 Boys",$B$15="Year 10-11 Boys"),$B$8="One Keeper"),$E$4,""),AQ36&lt;&gt;$B36,AQ36&lt;&gt;$C35,IFERROR(INDEX($E$18:$E$30,MATCH(AQ36,$B$18:$B$30,0)),"No")="Yes",COUNTIF($C$32:$C35,AQ36)&lt;$B$6,COUNTIF($C$32:$C35,AQ36)&lt;IF($B$3="Stage 1",MIN($B$6,MAX(1,INT($B$5/$B$11))),IF(AND($B$3="Stage 3",$B$5=20,$B$11&gt;11),1,IF(AND($B$3="Stage 3",OR($B$15="Year 10-11-12 Girls"),$B$5&gt;20),MAX(2,Setup!$B$14),Setup!$B$14)))))</f>
        <v>0</v>
      </c>
      <c r="BS36" s="20" t="b">
        <f>IF(AR36="",FALSE,AND(AR36&lt;&gt;IF(AND($B$3="Stage 3",OR($B$15="Year 8 Boys",$B$15="Year 9 Boys",$B$15="Year 10-11 Boys"),$B$8="One Keeper"),$E$4,""),AR36&lt;&gt;$B36,AR36&lt;&gt;$C35,IFERROR(INDEX($E$18:$E$30,MATCH(AR36,$B$18:$B$30,0)),"No")="Yes",COUNTIF($C$32:$C35,AR36)&lt;$B$6,COUNTIF($C$32:$C35,AR36)&lt;IF($B$3="Stage 1",MIN($B$6,MAX(1,INT($B$5/$B$11))),IF(AND($B$3="Stage 3",$B$5=20,$B$11&gt;11),1,IF(AND($B$3="Stage 3",OR($B$15="Year 10-11-12 Girls"),$B$5&gt;20),MAX(2,Setup!$B$14),Setup!$B$14)))))</f>
        <v>0</v>
      </c>
      <c r="BT36" s="20" t="b">
        <f>IF(AS36="",FALSE,AND(AS36&lt;&gt;IF(AND($B$3="Stage 3",OR($B$15="Year 8 Boys",$B$15="Year 9 Boys",$B$15="Year 10-11 Boys"),$B$8="One Keeper"),$E$4,""),AS36&lt;&gt;$B36,AS36&lt;&gt;$C35,IFERROR(INDEX($E$18:$E$30,MATCH(AS36,$B$18:$B$30,0)),"No")="Yes",COUNTIF($C$32:$C35,AS36)&lt;$B$6,COUNTIF($C$32:$C35,AS36)&lt;IF($B$3="Stage 1",MIN($B$6,MAX(1,INT($B$5/$B$11))),IF(AND($B$3="Stage 3",$B$5=20,$B$11&gt;11),1,IF(AND($B$3="Stage 3",OR($B$15="Year 10-11-12 Girls"),$B$5&gt;20),MAX(2,Setup!$B$14),Setup!$B$14)))))</f>
        <v>1</v>
      </c>
      <c r="BU36" s="20" t="b">
        <f>IF(AT36="",FALSE,AND(AT36&lt;&gt;IF(AND($B$3="Stage 3",OR($B$15="Year 8 Boys",$B$15="Year 9 Boys",$B$15="Year 10-11 Boys"),$B$8="One Keeper"),$E$4,""),AT36&lt;&gt;$B36,AT36&lt;&gt;$C35,IFERROR(INDEX($E$18:$E$30,MATCH(AT36,$B$18:$B$30,0)),"No")="Yes",COUNTIF($C$32:$C35,AT36)&lt;$B$6,COUNTIF($C$32:$C35,AT36)&lt;IF($B$3="Stage 1",MIN($B$6,MAX(1,INT($B$5/$B$11))),IF(AND($B$3="Stage 3",$B$5=20,$B$11&gt;11),1,IF(AND($B$3="Stage 3",OR($B$15="Year 10-11-12 Girls"),$B$5&gt;20),MAX(2,Setup!$B$14),Setup!$B$14)))))</f>
        <v>1</v>
      </c>
      <c r="BV36" s="20" t="b">
        <f>IF(AU36="",FALSE,AND(AU36&lt;&gt;IF(AND($B$3="Stage 3",OR($B$15="Year 8 Boys",$B$15="Year 9 Boys",$B$15="Year 10-11 Boys"),$B$8="One Keeper"),$E$4,""),AU36&lt;&gt;$B36,AU36&lt;&gt;$C35,IFERROR(INDEX($E$18:$E$30,MATCH(AU36,$B$18:$B$30,0)),"No")="Yes",COUNTIF($C$32:$C35,AU36)&lt;$B$6,COUNTIF($C$32:$C35,AU36)&lt;IF($B$3="Stage 1",MIN($B$6,MAX(1,INT($B$5/$B$11))),IF(AND($B$3="Stage 3",$B$5=20,$B$11&gt;11),1,IF(AND($B$3="Stage 3",OR($B$15="Year 10-11-12 Girls"),$B$5&gt;20),MAX(2,Setup!$B$14),Setup!$B$14)))))</f>
        <v>1</v>
      </c>
      <c r="BW36" s="20"/>
      <c r="BX36" s="20"/>
      <c r="BY36" s="20"/>
      <c r="BZ36" s="20"/>
      <c r="CA36" s="20"/>
      <c r="CB36" s="20"/>
      <c r="CC36" s="20"/>
      <c r="CD36" s="20"/>
      <c r="CE36" s="20"/>
      <c r="CF36" s="20"/>
      <c r="CG36" s="20"/>
      <c r="CH36" s="20"/>
      <c r="CI36" s="20"/>
      <c r="CJ36" s="20"/>
      <c r="CK36" s="20"/>
    </row>
    <row r="37" spans="1:89" ht="26.4" customHeight="1">
      <c r="A37" s="18">
        <v>6</v>
      </c>
      <c r="B37" s="18" t="str">
        <f t="shared" si="5"/>
        <v>Player 1</v>
      </c>
      <c r="C37" s="18" t="str">
        <f t="shared" si="6"/>
        <v>Player 3</v>
      </c>
      <c r="D37" s="18">
        <f t="shared" si="7"/>
        <v>1</v>
      </c>
      <c r="E37" s="18">
        <f>IF($C37="","",COUNTIF($C$32:C37,$C37))</f>
        <v>2</v>
      </c>
      <c r="F37" s="18" t="str">
        <f t="shared" si="8"/>
        <v/>
      </c>
      <c r="H37" s="18" t="str">
        <f t="shared" si="9"/>
        <v>Player 6</v>
      </c>
      <c r="I37" s="18">
        <f t="shared" si="10"/>
        <v>3</v>
      </c>
      <c r="J37" s="18" t="str">
        <f t="shared" si="11"/>
        <v>OK</v>
      </c>
      <c r="K37" s="18" t="str">
        <f>IF($H37="","",IF($B$3="Stage 1","",IF($B$10="Finals","Finals",IF($B$3="Stage 2",IF($B$5=20,IF($B$11=11,IF($I37&gt;=1,"OK","Needs 1+"),IF($I37&gt;=2,"OK","Needs 2")),IF($B$5=30,IF($I37&gt;=2,"OK","Needs 2"),IF($I37&gt;=Setup!$B$14,"OK","Below target"))),IF($B$3="Stage 3",IF(OR($B$15="Year 8 Boys",$B$15="Year 9 Boys",$B$15="Year 10-11 Boys"),"Team rule",IF($B$5=20,IF($B$11&gt;10,IF($I37&gt;=1,"OK","Needs 1+"),IF($I37&gt;=2,"OK","Needs 2")),IF($I37&gt;=MAX(2,Setup!$B$14),"OK","Needs "&amp;MAX(2,Setup!$B$14)))),"")))))</f>
        <v/>
      </c>
      <c r="L37" s="18" t="str">
        <f t="shared" si="12"/>
        <v>Yes</v>
      </c>
      <c r="M37" s="18" t="str">
        <f t="shared" si="13"/>
        <v/>
      </c>
      <c r="N37" s="18" t="str">
        <f t="shared" si="14"/>
        <v/>
      </c>
      <c r="T37" s="20">
        <f t="shared" si="15"/>
        <v>6</v>
      </c>
      <c r="U37" s="20" t="b">
        <f>IF(OR($B$3="Stage 2",AND($B$3="Stage 3",OR($B$15="Year 10-11-12 Girls"))),(IF(AND($P$18&lt;&gt;"",$P$18&lt;&gt;$E$4,COUNTIF($C$32:$C36,$P$18)&gt;=2),1,0)+IF(AND($P$19&lt;&gt;"",$P$19&lt;&gt;$E$4,COUNTIF($C$32:$C36,$P$19)&gt;=2),1,0)+IF(AND($P$20&lt;&gt;"",$P$20&lt;&gt;$E$4,COUNTIF($C$32:$C36,$P$20)&gt;=2),1,0)+IF(AND($P$21&lt;&gt;"",$P$21&lt;&gt;$E$4,COUNTIF($C$32:$C36,$P$21)&gt;=2),1,0)+IF(AND($P$22&lt;&gt;"",$P$22&lt;&gt;$E$4,COUNTIF($C$32:$C36,$P$22)&gt;=2),1,0)+IF(AND($P$23&lt;&gt;"",$P$23&lt;&gt;$E$4,COUNTIF($C$32:$C36,$P$23)&gt;=2),1,0)+IF(AND($P$24&lt;&gt;"",$P$24&lt;&gt;$E$4,COUNTIF($C$32:$C36,$P$24)&gt;=2),1,0)+IF(AND($P$25&lt;&gt;"",$P$25&lt;&gt;$E$4,COUNTIF($C$32:$C36,$P$25)&gt;=2),1,0)+IF(AND($P$26&lt;&gt;"",$P$26&lt;&gt;$E$4,COUNTIF($C$32:$C36,$P$26)&gt;=2),1,0)+IF(AND($P$27&lt;&gt;"",$P$27&lt;&gt;$E$4,COUNTIF($C$32:$C36,$P$27)&gt;=2),1,0)+IF(AND($P$28&lt;&gt;"",$P$28&lt;&gt;$E$4,COUNTIF($C$32:$C36,$P$28)&gt;=2),1,0)+IF(AND($P$29&lt;&gt;"",$P$29&lt;&gt;$E$4,COUNTIF($C$32:$C36,$P$29)&gt;=2),1,0)+IF(AND($P$30&lt;&gt;"",$P$30&lt;&gt;$E$4,COUNTIF($C$32:$C36,$P$30)&gt;=2),1,0))&gt;=MAX(0,$B$11-1),IF(AND($B$3="Stage 3",OR($B$15="Year 8 Boys",$B$15="Year 9 Boys",$B$15="Year 10-11 Boys")),(IF(AND($P$18&lt;&gt;"",COUNTIF($C$32:$C36,$P$18)&gt;=2),1,0)+IF(AND($P$19&lt;&gt;"",COUNTIF($C$32:$C36,$P$19)&gt;=2),1,0)+IF(AND($P$20&lt;&gt;"",COUNTIF($C$32:$C36,$P$20)&gt;=2),1,0)+IF(AND($P$21&lt;&gt;"",COUNTIF($C$32:$C36,$P$21)&gt;=2),1,0)+IF(AND($P$22&lt;&gt;"",COUNTIF($C$32:$C36,$P$22)&gt;=2),1,0)+IF(AND($P$23&lt;&gt;"",COUNTIF($C$32:$C36,$P$23)&gt;=2),1,0)+IF(AND($P$24&lt;&gt;"",COUNTIF($C$32:$C36,$P$24)&gt;=2),1,0)+IF(AND($P$25&lt;&gt;"",COUNTIF($C$32:$C36,$P$25)&gt;=2),1,0)+IF(AND($P$26&lt;&gt;"",COUNTIF($C$32:$C36,$P$26)&gt;=2),1,0)+IF(AND($P$27&lt;&gt;"",COUNTIF($C$32:$C36,$P$27)&gt;=2),1,0)+IF(AND($P$28&lt;&gt;"",COUNTIF($C$32:$C36,$P$28)&gt;=2),1,0)+IF(AND($P$29&lt;&gt;"",COUNTIF($C$32:$C36,$P$29)&gt;=2),1,0)+IF(AND($P$30&lt;&gt;"",COUNTIF($C$32:$C36,$P$30)&gt;=2),1,0))&gt;=7,TRUE))</f>
        <v>1</v>
      </c>
      <c r="V37" s="20">
        <f t="shared" si="16"/>
        <v>6</v>
      </c>
      <c r="W37" s="20">
        <f t="shared" si="16"/>
        <v>7</v>
      </c>
      <c r="X37" s="20">
        <f t="shared" si="16"/>
        <v>1</v>
      </c>
      <c r="Y37" s="20">
        <f t="shared" si="16"/>
        <v>2</v>
      </c>
      <c r="Z37" s="20">
        <f t="shared" si="16"/>
        <v>3</v>
      </c>
      <c r="AA37" s="20">
        <f t="shared" si="16"/>
        <v>4</v>
      </c>
      <c r="AB37" s="20">
        <f t="shared" si="16"/>
        <v>5</v>
      </c>
      <c r="AC37" s="20">
        <f t="shared" si="16"/>
        <v>6</v>
      </c>
      <c r="AD37" s="20">
        <f t="shared" si="16"/>
        <v>7</v>
      </c>
      <c r="AE37" s="20">
        <f t="shared" si="16"/>
        <v>1</v>
      </c>
      <c r="AF37" s="20">
        <f t="shared" si="16"/>
        <v>2</v>
      </c>
      <c r="AG37" s="20">
        <f t="shared" si="16"/>
        <v>3</v>
      </c>
      <c r="AH37" s="20">
        <f t="shared" si="16"/>
        <v>4</v>
      </c>
      <c r="AI37" s="20" t="str">
        <f t="shared" si="17"/>
        <v>Player 1</v>
      </c>
      <c r="AJ37" s="20" t="str">
        <f t="shared" si="18"/>
        <v>Player 2</v>
      </c>
      <c r="AK37" s="20" t="str">
        <f t="shared" si="19"/>
        <v>Player 3</v>
      </c>
      <c r="AL37" s="20" t="str">
        <f t="shared" si="20"/>
        <v>Player 4</v>
      </c>
      <c r="AM37" s="20" t="str">
        <f t="shared" si="21"/>
        <v>Player 5</v>
      </c>
      <c r="AN37" s="20" t="str">
        <f t="shared" si="22"/>
        <v>Player 6</v>
      </c>
      <c r="AO37" s="20" t="str">
        <f t="shared" si="23"/>
        <v>Player 7</v>
      </c>
      <c r="AP37" s="20" t="str">
        <f t="shared" si="24"/>
        <v>Player 1</v>
      </c>
      <c r="AQ37" s="20" t="str">
        <f t="shared" si="25"/>
        <v>Player 2</v>
      </c>
      <c r="AR37" s="20" t="str">
        <f t="shared" si="26"/>
        <v>Player 3</v>
      </c>
      <c r="AS37" s="20" t="str">
        <f t="shared" si="27"/>
        <v>Player 4</v>
      </c>
      <c r="AT37" s="20" t="str">
        <f t="shared" si="28"/>
        <v>Player 5</v>
      </c>
      <c r="AU37" s="20" t="str">
        <f t="shared" si="29"/>
        <v>Player 6</v>
      </c>
      <c r="AV37" s="20" t="b">
        <f>IF(AI37="",FALSE,AND(AI37&lt;&gt;$B37,AI37&lt;&gt;$C36,IFERROR(INDEX($E$18:$E$30,MATCH(AI37,$B$18:$B$30,0)),"No")="Yes",IF(AND(OR($B$3="Stage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Girls"))),$B$5&gt;20),MIN(3,MAX(2,Setup!$B$14)),2))*2),AI37=$E$5,IF(AND(OR($B$3="Stage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Girls"))),$B$5&gt;20),MIN(3,MAX(2,Setup!$B$14)),2))*2-1))),AI37=$E$4,TRUE)),COUNTIF($C$32:$C36,AI37)&lt;$B$6,IF($BI37,COUNTIF($C$32:$C36,AI37)&lt;IF($B$3="Stage 1",MIN($B$6,MAX(1,INT($B$5/$B$11))),IF(AND($B$3="Stage 3",$B$5=20,$B$11&gt;11),1,IF(AND($B$3="Stage 3",OR($B$15="Year 10-11-12 Girls"),$B$5&gt;20),MAX(2,Setup!$B$14),Setup!$B$14))),IF(AND($B$3&lt;&gt;"Stage 2",$B$3&lt;&gt;"Stage 3"),TRUE,IF($U37,TRUE,COUNTIF($C$32:$C36,AI37)&lt;IF(AND($B$3="Stage 2",$B$5=20,AI37=$E$5,$A37&lt;=IF($B$8="One Keeper",$B$5,$B$8)),2,IF(AND(OR($B$3="Stage 2",AND($B$3="Stage 3",OR($B$15="Year 10-11-12 Girls"))),AI37=$E$5,$A37&lt;=IF($B$8="One Keeper",$B$5,$B$8)),3,$B$9)))))))</f>
        <v>0</v>
      </c>
      <c r="AW37" s="20" t="b">
        <f>IF(AJ37="",FALSE,AND(AJ37&lt;&gt;$B37,AJ37&lt;&gt;$C36,IFERROR(INDEX($E$18:$E$30,MATCH(AJ37,$B$18:$B$30,0)),"No")="Yes",IF(AND(OR($B$3="Stage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Girls"))),$B$5&gt;20),MIN(3,MAX(2,Setup!$B$14)),2))*2),AJ37=$E$5,IF(AND(OR($B$3="Stage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Girls"))),$B$5&gt;20),MIN(3,MAX(2,Setup!$B$14)),2))*2-1))),AJ37=$E$4,TRUE)),COUNTIF($C$32:$C36,AJ37)&lt;$B$6,IF($BI37,COUNTIF($C$32:$C36,AJ37)&lt;IF($B$3="Stage 1",MIN($B$6,MAX(1,INT($B$5/$B$11))),IF(AND($B$3="Stage 3",$B$5=20,$B$11&gt;11),1,IF(AND($B$3="Stage 3",OR($B$15="Year 10-11-12 Girls"),$B$5&gt;20),MAX(2,Setup!$B$14),Setup!$B$14))),IF(AND($B$3&lt;&gt;"Stage 2",$B$3&lt;&gt;"Stage 3"),TRUE,IF($U37,TRUE,COUNTIF($C$32:$C36,AJ37)&lt;IF(AND($B$3="Stage 2",$B$5=20,AJ37=$E$5,$A37&lt;=IF($B$8="One Keeper",$B$5,$B$8)),2,IF(AND(OR($B$3="Stage 2",AND($B$3="Stage 3",OR($B$15="Year 10-11-12 Girls"))),AJ37=$E$5,$A37&lt;=IF($B$8="One Keeper",$B$5,$B$8)),3,$B$9)))))))</f>
        <v>0</v>
      </c>
      <c r="AX37" s="20" t="b">
        <f>IF(AK37="",FALSE,AND(AK37&lt;&gt;$B37,AK37&lt;&gt;$C36,IFERROR(INDEX($E$18:$E$30,MATCH(AK37,$B$18:$B$30,0)),"No")="Yes",IF(AND(OR($B$3="Stage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Girls"))),$B$5&gt;20),MIN(3,MAX(2,Setup!$B$14)),2))*2),AK37=$E$5,IF(AND(OR($B$3="Stage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Girls"))),$B$5&gt;20),MIN(3,MAX(2,Setup!$B$14)),2))*2-1))),AK37=$E$4,TRUE)),COUNTIF($C$32:$C36,AK37)&lt;$B$6,IF($BI37,COUNTIF($C$32:$C36,AK37)&lt;IF($B$3="Stage 1",MIN($B$6,MAX(1,INT($B$5/$B$11))),IF(AND($B$3="Stage 3",$B$5=20,$B$11&gt;11),1,IF(AND($B$3="Stage 3",OR($B$15="Year 10-11-12 Girls"),$B$5&gt;20),MAX(2,Setup!$B$14),Setup!$B$14))),IF(AND($B$3&lt;&gt;"Stage 2",$B$3&lt;&gt;"Stage 3"),TRUE,IF($U37,TRUE,COUNTIF($C$32:$C36,AK37)&lt;IF(AND($B$3="Stage 2",$B$5=20,AK37=$E$5,$A37&lt;=IF($B$8="One Keeper",$B$5,$B$8)),2,IF(AND(OR($B$3="Stage 2",AND($B$3="Stage 3",OR($B$15="Year 10-11-12 Girls"))),AK37=$E$5,$A37&lt;=IF($B$8="One Keeper",$B$5,$B$8)),3,$B$9)))))))</f>
        <v>1</v>
      </c>
      <c r="AY37" s="20" t="b">
        <f>IF(AL37="",FALSE,AND(AL37&lt;&gt;$B37,AL37&lt;&gt;$C36,IFERROR(INDEX($E$18:$E$30,MATCH(AL37,$B$18:$B$30,0)),"No")="Yes",IF(AND(OR($B$3="Stage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Girls"))),$B$5&gt;20),MIN(3,MAX(2,Setup!$B$14)),2))*2),AL37=$E$5,IF(AND(OR($B$3="Stage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Girls"))),$B$5&gt;20),MIN(3,MAX(2,Setup!$B$14)),2))*2-1))),AL37=$E$4,TRUE)),COUNTIF($C$32:$C36,AL37)&lt;$B$6,IF($BI37,COUNTIF($C$32:$C36,AL37)&lt;IF($B$3="Stage 1",MIN($B$6,MAX(1,INT($B$5/$B$11))),IF(AND($B$3="Stage 3",$B$5=20,$B$11&gt;11),1,IF(AND($B$3="Stage 3",OR($B$15="Year 10-11-12 Girls"),$B$5&gt;20),MAX(2,Setup!$B$14),Setup!$B$14))),IF(AND($B$3&lt;&gt;"Stage 2",$B$3&lt;&gt;"Stage 3"),TRUE,IF($U37,TRUE,COUNTIF($C$32:$C36,AL37)&lt;IF(AND($B$3="Stage 2",$B$5=20,AL37=$E$5,$A37&lt;=IF($B$8="One Keeper",$B$5,$B$8)),2,IF(AND(OR($B$3="Stage 2",AND($B$3="Stage 3",OR($B$15="Year 10-11-12 Girls"))),AL37=$E$5,$A37&lt;=IF($B$8="One Keeper",$B$5,$B$8)),3,$B$9)))))))</f>
        <v>1</v>
      </c>
      <c r="AZ37" s="20" t="b">
        <f>IF(AM37="",FALSE,AND(AM37&lt;&gt;$B37,AM37&lt;&gt;$C36,IFERROR(INDEX($E$18:$E$30,MATCH(AM37,$B$18:$B$30,0)),"No")="Yes",IF(AND(OR($B$3="Stage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Girls"))),$B$5&gt;20),MIN(3,MAX(2,Setup!$B$14)),2))*2),AM37=$E$5,IF(AND(OR($B$3="Stage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Girls"))),$B$5&gt;20),MIN(3,MAX(2,Setup!$B$14)),2))*2-1))),AM37=$E$4,TRUE)),COUNTIF($C$32:$C36,AM37)&lt;$B$6,IF($BI37,COUNTIF($C$32:$C36,AM37)&lt;IF($B$3="Stage 1",MIN($B$6,MAX(1,INT($B$5/$B$11))),IF(AND($B$3="Stage 3",$B$5=20,$B$11&gt;11),1,IF(AND($B$3="Stage 3",OR($B$15="Year 10-11-12 Girls"),$B$5&gt;20),MAX(2,Setup!$B$14),Setup!$B$14))),IF(AND($B$3&lt;&gt;"Stage 2",$B$3&lt;&gt;"Stage 3"),TRUE,IF($U37,TRUE,COUNTIF($C$32:$C36,AM37)&lt;IF(AND($B$3="Stage 2",$B$5=20,AM37=$E$5,$A37&lt;=IF($B$8="One Keeper",$B$5,$B$8)),2,IF(AND(OR($B$3="Stage 2",AND($B$3="Stage 3",OR($B$15="Year 10-11-12 Girls"))),AM37=$E$5,$A37&lt;=IF($B$8="One Keeper",$B$5,$B$8)),3,$B$9)))))))</f>
        <v>1</v>
      </c>
      <c r="BA37" s="20" t="b">
        <f>IF(AN37="",FALSE,AND(AN37&lt;&gt;$B37,AN37&lt;&gt;$C36,IFERROR(INDEX($E$18:$E$30,MATCH(AN37,$B$18:$B$30,0)),"No")="Yes",IF(AND(OR($B$3="Stage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Girls"))),$B$5&gt;20),MIN(3,MAX(2,Setup!$B$14)),2))*2),AN37=$E$5,IF(AND(OR($B$3="Stage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Girls"))),$B$5&gt;20),MIN(3,MAX(2,Setup!$B$14)),2))*2-1))),AN37=$E$4,TRUE)),COUNTIF($C$32:$C36,AN37)&lt;$B$6,IF($BI37,COUNTIF($C$32:$C36,AN37)&lt;IF($B$3="Stage 1",MIN($B$6,MAX(1,INT($B$5/$B$11))),IF(AND($B$3="Stage 3",$B$5=20,$B$11&gt;11),1,IF(AND($B$3="Stage 3",OR($B$15="Year 10-11-12 Girls"),$B$5&gt;20),MAX(2,Setup!$B$14),Setup!$B$14))),IF(AND($B$3&lt;&gt;"Stage 2",$B$3&lt;&gt;"Stage 3"),TRUE,IF($U37,TRUE,COUNTIF($C$32:$C36,AN37)&lt;IF(AND($B$3="Stage 2",$B$5=20,AN37=$E$5,$A37&lt;=IF($B$8="One Keeper",$B$5,$B$8)),2,IF(AND(OR($B$3="Stage 2",AND($B$3="Stage 3",OR($B$15="Year 10-11-12 Girls"))),AN37=$E$5,$A37&lt;=IF($B$8="One Keeper",$B$5,$B$8)),3,$B$9)))))))</f>
        <v>1</v>
      </c>
      <c r="BB37" s="20" t="b">
        <f>IF(AO37="",FALSE,AND(AO37&lt;&gt;$B37,AO37&lt;&gt;$C36,IFERROR(INDEX($E$18:$E$30,MATCH(AO37,$B$18:$B$30,0)),"No")="Yes",IF(AND(OR($B$3="Stage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Girls"))),$B$5&gt;20),MIN(3,MAX(2,Setup!$B$14)),2))*2),AO37=$E$5,IF(AND(OR($B$3="Stage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Girls"))),$B$5&gt;20),MIN(3,MAX(2,Setup!$B$14)),2))*2-1))),AO37=$E$4,TRUE)),COUNTIF($C$32:$C36,AO37)&lt;$B$6,IF($BI37,COUNTIF($C$32:$C36,AO37)&lt;IF($B$3="Stage 1",MIN($B$6,MAX(1,INT($B$5/$B$11))),IF(AND($B$3="Stage 3",$B$5=20,$B$11&gt;11),1,IF(AND($B$3="Stage 3",OR($B$15="Year 10-11-12 Girls"),$B$5&gt;20),MAX(2,Setup!$B$14),Setup!$B$14))),IF(AND($B$3&lt;&gt;"Stage 2",$B$3&lt;&gt;"Stage 3"),TRUE,IF($U37,TRUE,COUNTIF($C$32:$C36,AO37)&lt;IF(AND($B$3="Stage 2",$B$5=20,AO37=$E$5,$A37&lt;=IF($B$8="One Keeper",$B$5,$B$8)),2,IF(AND(OR($B$3="Stage 2",AND($B$3="Stage 3",OR($B$15="Year 10-11-12 Girls"))),AO37=$E$5,$A37&lt;=IF($B$8="One Keeper",$B$5,$B$8)),3,$B$9)))))))</f>
        <v>0</v>
      </c>
      <c r="BC37" s="20" t="b">
        <f>IF(AP37="",FALSE,AND(AP37&lt;&gt;$B37,AP37&lt;&gt;$C36,IFERROR(INDEX($E$18:$E$30,MATCH(AP37,$B$18:$B$30,0)),"No")="Yes",IF(AND(OR($B$3="Stage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Girls"))),$B$5&gt;20),MIN(3,MAX(2,Setup!$B$14)),2))*2),AP37=$E$5,IF(AND(OR($B$3="Stage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Girls"))),$B$5&gt;20),MIN(3,MAX(2,Setup!$B$14)),2))*2-1))),AP37=$E$4,TRUE)),COUNTIF($C$32:$C36,AP37)&lt;$B$6,IF($BI37,COUNTIF($C$32:$C36,AP37)&lt;IF($B$3="Stage 1",MIN($B$6,MAX(1,INT($B$5/$B$11))),IF(AND($B$3="Stage 3",$B$5=20,$B$11&gt;11),1,IF(AND($B$3="Stage 3",OR($B$15="Year 10-11-12 Girls"),$B$5&gt;20),MAX(2,Setup!$B$14),Setup!$B$14))),IF(AND($B$3&lt;&gt;"Stage 2",$B$3&lt;&gt;"Stage 3"),TRUE,IF($U37,TRUE,COUNTIF($C$32:$C36,AP37)&lt;IF(AND($B$3="Stage 2",$B$5=20,AP37=$E$5,$A37&lt;=IF($B$8="One Keeper",$B$5,$B$8)),2,IF(AND(OR($B$3="Stage 2",AND($B$3="Stage 3",OR($B$15="Year 10-11-12 Girls"))),AP37=$E$5,$A37&lt;=IF($B$8="One Keeper",$B$5,$B$8)),3,$B$9)))))))</f>
        <v>0</v>
      </c>
      <c r="BD37" s="20" t="b">
        <f>IF(AQ37="",FALSE,AND(AQ37&lt;&gt;$B37,AQ37&lt;&gt;$C36,IFERROR(INDEX($E$18:$E$30,MATCH(AQ37,$B$18:$B$30,0)),"No")="Yes",IF(AND(OR($B$3="Stage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Girls"))),$B$5&gt;20),MIN(3,MAX(2,Setup!$B$14)),2))*2),AQ37=$E$5,IF(AND(OR($B$3="Stage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Girls"))),$B$5&gt;20),MIN(3,MAX(2,Setup!$B$14)),2))*2-1))),AQ37=$E$4,TRUE)),COUNTIF($C$32:$C36,AQ37)&lt;$B$6,IF($BI37,COUNTIF($C$32:$C36,AQ37)&lt;IF($B$3="Stage 1",MIN($B$6,MAX(1,INT($B$5/$B$11))),IF(AND($B$3="Stage 3",$B$5=20,$B$11&gt;11),1,IF(AND($B$3="Stage 3",OR($B$15="Year 10-11-12 Girls"),$B$5&gt;20),MAX(2,Setup!$B$14),Setup!$B$14))),IF(AND($B$3&lt;&gt;"Stage 2",$B$3&lt;&gt;"Stage 3"),TRUE,IF($U37,TRUE,COUNTIF($C$32:$C36,AQ37)&lt;IF(AND($B$3="Stage 2",$B$5=20,AQ37=$E$5,$A37&lt;=IF($B$8="One Keeper",$B$5,$B$8)),2,IF(AND(OR($B$3="Stage 2",AND($B$3="Stage 3",OR($B$15="Year 10-11-12 Girls"))),AQ37=$E$5,$A37&lt;=IF($B$8="One Keeper",$B$5,$B$8)),3,$B$9)))))))</f>
        <v>0</v>
      </c>
      <c r="BE37" s="20" t="b">
        <f>IF(AR37="",FALSE,AND(AR37&lt;&gt;$B37,AR37&lt;&gt;$C36,IFERROR(INDEX($E$18:$E$30,MATCH(AR37,$B$18:$B$30,0)),"No")="Yes",IF(AND(OR($B$3="Stage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Girls"))),$B$5&gt;20),MIN(3,MAX(2,Setup!$B$14)),2))*2),AR37=$E$5,IF(AND(OR($B$3="Stage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Girls"))),$B$5&gt;20),MIN(3,MAX(2,Setup!$B$14)),2))*2-1))),AR37=$E$4,TRUE)),COUNTIF($C$32:$C36,AR37)&lt;$B$6,IF($BI37,COUNTIF($C$32:$C36,AR37)&lt;IF($B$3="Stage 1",MIN($B$6,MAX(1,INT($B$5/$B$11))),IF(AND($B$3="Stage 3",$B$5=20,$B$11&gt;11),1,IF(AND($B$3="Stage 3",OR($B$15="Year 10-11-12 Girls"),$B$5&gt;20),MAX(2,Setup!$B$14),Setup!$B$14))),IF(AND($B$3&lt;&gt;"Stage 2",$B$3&lt;&gt;"Stage 3"),TRUE,IF($U37,TRUE,COUNTIF($C$32:$C36,AR37)&lt;IF(AND($B$3="Stage 2",$B$5=20,AR37=$E$5,$A37&lt;=IF($B$8="One Keeper",$B$5,$B$8)),2,IF(AND(OR($B$3="Stage 2",AND($B$3="Stage 3",OR($B$15="Year 10-11-12 Girls"))),AR37=$E$5,$A37&lt;=IF($B$8="One Keeper",$B$5,$B$8)),3,$B$9)))))))</f>
        <v>1</v>
      </c>
      <c r="BF37" s="20" t="b">
        <f>IF(AS37="",FALSE,AND(AS37&lt;&gt;$B37,AS37&lt;&gt;$C36,IFERROR(INDEX($E$18:$E$30,MATCH(AS37,$B$18:$B$30,0)),"No")="Yes",IF(AND(OR($B$3="Stage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Girls"))),$B$5&gt;20),MIN(3,MAX(2,Setup!$B$14)),2))*2),AS37=$E$5,IF(AND(OR($B$3="Stage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Girls"))),$B$5&gt;20),MIN(3,MAX(2,Setup!$B$14)),2))*2-1))),AS37=$E$4,TRUE)),COUNTIF($C$32:$C36,AS37)&lt;$B$6,IF($BI37,COUNTIF($C$32:$C36,AS37)&lt;IF($B$3="Stage 1",MIN($B$6,MAX(1,INT($B$5/$B$11))),IF(AND($B$3="Stage 3",$B$5=20,$B$11&gt;11),1,IF(AND($B$3="Stage 3",OR($B$15="Year 10-11-12 Girls"),$B$5&gt;20),MAX(2,Setup!$B$14),Setup!$B$14))),IF(AND($B$3&lt;&gt;"Stage 2",$B$3&lt;&gt;"Stage 3"),TRUE,IF($U37,TRUE,COUNTIF($C$32:$C36,AS37)&lt;IF(AND($B$3="Stage 2",$B$5=20,AS37=$E$5,$A37&lt;=IF($B$8="One Keeper",$B$5,$B$8)),2,IF(AND(OR($B$3="Stage 2",AND($B$3="Stage 3",OR($B$15="Year 10-11-12 Girls"))),AS37=$E$5,$A37&lt;=IF($B$8="One Keeper",$B$5,$B$8)),3,$B$9)))))))</f>
        <v>1</v>
      </c>
      <c r="BG37" s="20" t="b">
        <f>IF(AT37="",FALSE,AND(AT37&lt;&gt;$B37,AT37&lt;&gt;$C36,IFERROR(INDEX($E$18:$E$30,MATCH(AT37,$B$18:$B$30,0)),"No")="Yes",IF(AND(OR($B$3="Stage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Girls"))),$B$5&gt;20),MIN(3,MAX(2,Setup!$B$14)),2))*2),AT37=$E$5,IF(AND(OR($B$3="Stage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Girls"))),$B$5&gt;20),MIN(3,MAX(2,Setup!$B$14)),2))*2-1))),AT37=$E$4,TRUE)),COUNTIF($C$32:$C36,AT37)&lt;$B$6,IF($BI37,COUNTIF($C$32:$C36,AT37)&lt;IF($B$3="Stage 1",MIN($B$6,MAX(1,INT($B$5/$B$11))),IF(AND($B$3="Stage 3",$B$5=20,$B$11&gt;11),1,IF(AND($B$3="Stage 3",OR($B$15="Year 10-11-12 Girls"),$B$5&gt;20),MAX(2,Setup!$B$14),Setup!$B$14))),IF(AND($B$3&lt;&gt;"Stage 2",$B$3&lt;&gt;"Stage 3"),TRUE,IF($U37,TRUE,COUNTIF($C$32:$C36,AT37)&lt;IF(AND($B$3="Stage 2",$B$5=20,AT37=$E$5,$A37&lt;=IF($B$8="One Keeper",$B$5,$B$8)),2,IF(AND(OR($B$3="Stage 2",AND($B$3="Stage 3",OR($B$15="Year 10-11-12 Girls"))),AT37=$E$5,$A37&lt;=IF($B$8="One Keeper",$B$5,$B$8)),3,$B$9)))))))</f>
        <v>1</v>
      </c>
      <c r="BH37" s="20" t="b">
        <f>IF(AU37="",FALSE,AND(AU37&lt;&gt;$B37,AU37&lt;&gt;$C36,IFERROR(INDEX($E$18:$E$30,MATCH(AU37,$B$18:$B$30,0)),"No")="Yes",IF(AND(OR($B$3="Stage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Girls"))),$B$5&gt;20),MIN(3,MAX(2,Setup!$B$14)),2))*2),AU37=$E$5,IF(AND(OR($B$3="Stage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Girls"))),$B$5&gt;20),MIN(3,MAX(2,Setup!$B$14)),2))*2-1))),AU37=$E$4,TRUE)),COUNTIF($C$32:$C36,AU37)&lt;$B$6,IF($BI37,COUNTIF($C$32:$C36,AU37)&lt;IF($B$3="Stage 1",MIN($B$6,MAX(1,INT($B$5/$B$11))),IF(AND($B$3="Stage 3",$B$5=20,$B$11&gt;11),1,IF(AND($B$3="Stage 3",OR($B$15="Year 10-11-12 Girls"),$B$5&gt;20),MAX(2,Setup!$B$14),Setup!$B$14))),IF(AND($B$3&lt;&gt;"Stage 2",$B$3&lt;&gt;"Stage 3"),TRUE,IF($U37,TRUE,COUNTIF($C$32:$C36,AU37)&lt;IF(AND($B$3="Stage 2",$B$5=20,AU37=$E$5,$A37&lt;=IF($B$8="One Keeper",$B$5,$B$8)),2,IF(AND(OR($B$3="Stage 2",AND($B$3="Stage 3",OR($B$15="Year 10-11-12 Girls"))),AU37=$E$5,$A37&lt;=IF($B$8="One Keeper",$B$5,$B$8)),3,$B$9)))))))</f>
        <v>1</v>
      </c>
      <c r="BI37"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Keeper",$E$4&lt;&gt;$E$5,$A37&lt;=IF($B$8="One Keeper",$B$5,$B$8),COUNTIF($C$32:$C36,$E$5)&lt;IF(AND($B$3="Stage 3",$B$5=20,$B$11&gt;11),1,IF(AND(OR($B$3="Stage 2",AND($B$3="Stage 3",OR($B$15="Year 10-11-12 Girls"))),$B$5&gt;20),MIN(3,MAX(2,Setup!$B$14)),2)),IFERROR(INDEX($E$18:$E$30,MATCH($E$5,$B$18:$B$30,0)),"No")="Yes",$C36&lt;&gt;$E$5,MOD($A37,2)=0,$A37&lt;=IF(AND($B$3="Stage 3",$B$5=20,$B$11&gt;11),1,IF(AND(OR($B$3="Stage 2",AND($B$3="Stage 3",OR($B$15="Year 10-11-12 Girls"))),$B$5&gt;20),MIN(3,MAX(2,Setup!$B$14)),2))*2),AND(OR($B$3="Stage 1",$B$3="Stage 2",AND($B$3="Stage 3",OR(OR($B$15="Year 10-11-12 Girls"),OR($B$15="Year 8 Boys",$B$15="Year 9 Boys",$B$15="Year 10-11 Boys")))),$B$8&lt;&gt;"One Keeper",$E$4&lt;&gt;$E$5,$A37&gt;IF($B$8="One Keeper",$B$5,$B$8),COUNTIF($C$32:$C36,$E$4)&lt;IF(AND($B$3="Stage 3",$B$5=20,$B$11&gt;11),1,IF(AND(OR($B$3="Stage 2",AND($B$3="Stage 3",OR($B$15="Year 10-11-12 Girls"))),$B$5&gt;20),MIN(3,MAX(2,Setup!$B$14)),2)),IFERROR(INDEX($E$18:$E$30,MATCH($E$4,$B$18:$B$30,0)),"No")="Yes",$C36&lt;&gt;$E$4,IF($B$7="Three-over spell",AND(MOD($A37-IF($B$8="One Keeper",$B$5,$B$8)-1,3)=0,($A37-IF($B$8="One Keeper",$B$5,$B$8))&lt;=1+(IF(AND($B$3="Stage 3",$B$5=20,$B$11&gt;11),1,IF(AND(OR($B$3="Stage 2",AND($B$3="Stage 3",OR($B$15="Year 10-11-12 Girls"))),$B$5&gt;20),MIN(3,MAX(2,Setup!$B$14)),2))-1)*3),AND(MOD($A37-IF($B$8="One Keeper",$B$5,$B$8),2)=1,($A37-IF($B$8="One Keeper",$B$5,$B$8))&lt;=IF(AND($B$3="Stage 3",$B$5=20,$B$11&gt;11),1,IF(AND(OR($B$3="Stage 2",AND($B$3="Stage 3",OR($B$15="Year 10-11-12 Girls"))),$B$5&gt;20),MIN(3,MAX(2,Setup!$B$14)),2))*2-1))))),OR($U37,AND($B$3="Stage 3",$B$5=20,$B$11&gt;11)),OR($BJ37,$BK37,$BL37,$BM37,$BN37,$BO37,$BP37,$BQ37,$BR37,$BS37,$BT37,$BU37,$BV37))</f>
        <v>1</v>
      </c>
      <c r="BJ37" s="20" t="b">
        <f>IF(AI37="",FALSE,AND(AI37&lt;&gt;IF(AND($B$3="Stage 3",OR($B$15="Year 8 Boys",$B$15="Year 9 Boys",$B$15="Year 10-11 Boys"),$B$8="One Keeper"),$E$4,""),AI37&lt;&gt;$B37,AI37&lt;&gt;$C36,IFERROR(INDEX($E$18:$E$30,MATCH(AI37,$B$18:$B$30,0)),"No")="Yes",COUNTIF($C$32:$C36,AI37)&lt;$B$6,COUNTIF($C$32:$C36,AI37)&lt;IF($B$3="Stage 1",MIN($B$6,MAX(1,INT($B$5/$B$11))),IF(AND($B$3="Stage 3",$B$5=20,$B$11&gt;11),1,IF(AND($B$3="Stage 3",OR($B$15="Year 10-11-12 Girls"),$B$5&gt;20),MAX(2,Setup!$B$14),Setup!$B$14)))))</f>
        <v>0</v>
      </c>
      <c r="BK37" s="20" t="b">
        <f>IF(AJ37="",FALSE,AND(AJ37&lt;&gt;IF(AND($B$3="Stage 3",OR($B$15="Year 8 Boys",$B$15="Year 9 Boys",$B$15="Year 10-11 Boys"),$B$8="One Keeper"),$E$4,""),AJ37&lt;&gt;$B37,AJ37&lt;&gt;$C36,IFERROR(INDEX($E$18:$E$30,MATCH(AJ37,$B$18:$B$30,0)),"No")="Yes",COUNTIF($C$32:$C36,AJ37)&lt;$B$6,COUNTIF($C$32:$C36,AJ37)&lt;IF($B$3="Stage 1",MIN($B$6,MAX(1,INT($B$5/$B$11))),IF(AND($B$3="Stage 3",$B$5=20,$B$11&gt;11),1,IF(AND($B$3="Stage 3",OR($B$15="Year 10-11-12 Girls"),$B$5&gt;20),MAX(2,Setup!$B$14),Setup!$B$14)))))</f>
        <v>0</v>
      </c>
      <c r="BL37" s="20" t="b">
        <f>IF(AK37="",FALSE,AND(AK37&lt;&gt;IF(AND($B$3="Stage 3",OR($B$15="Year 8 Boys",$B$15="Year 9 Boys",$B$15="Year 10-11 Boys"),$B$8="One Keeper"),$E$4,""),AK37&lt;&gt;$B37,AK37&lt;&gt;$C36,IFERROR(INDEX($E$18:$E$30,MATCH(AK37,$B$18:$B$30,0)),"No")="Yes",COUNTIF($C$32:$C36,AK37)&lt;$B$6,COUNTIF($C$32:$C36,AK37)&lt;IF($B$3="Stage 1",MIN($B$6,MAX(1,INT($B$5/$B$11))),IF(AND($B$3="Stage 3",$B$5=20,$B$11&gt;11),1,IF(AND($B$3="Stage 3",OR($B$15="Year 10-11-12 Girls"),$B$5&gt;20),MAX(2,Setup!$B$14),Setup!$B$14)))))</f>
        <v>1</v>
      </c>
      <c r="BM37" s="20" t="b">
        <f>IF(AL37="",FALSE,AND(AL37&lt;&gt;IF(AND($B$3="Stage 3",OR($B$15="Year 8 Boys",$B$15="Year 9 Boys",$B$15="Year 10-11 Boys"),$B$8="One Keeper"),$E$4,""),AL37&lt;&gt;$B37,AL37&lt;&gt;$C36,IFERROR(INDEX($E$18:$E$30,MATCH(AL37,$B$18:$B$30,0)),"No")="Yes",COUNTIF($C$32:$C36,AL37)&lt;$B$6,COUNTIF($C$32:$C36,AL37)&lt;IF($B$3="Stage 1",MIN($B$6,MAX(1,INT($B$5/$B$11))),IF(AND($B$3="Stage 3",$B$5=20,$B$11&gt;11),1,IF(AND($B$3="Stage 3",OR($B$15="Year 10-11-12 Girls"),$B$5&gt;20),MAX(2,Setup!$B$14),Setup!$B$14)))))</f>
        <v>1</v>
      </c>
      <c r="BN37" s="20" t="b">
        <f>IF(AM37="",FALSE,AND(AM37&lt;&gt;IF(AND($B$3="Stage 3",OR($B$15="Year 8 Boys",$B$15="Year 9 Boys",$B$15="Year 10-11 Boys"),$B$8="One Keeper"),$E$4,""),AM37&lt;&gt;$B37,AM37&lt;&gt;$C36,IFERROR(INDEX($E$18:$E$30,MATCH(AM37,$B$18:$B$30,0)),"No")="Yes",COUNTIF($C$32:$C36,AM37)&lt;$B$6,COUNTIF($C$32:$C36,AM37)&lt;IF($B$3="Stage 1",MIN($B$6,MAX(1,INT($B$5/$B$11))),IF(AND($B$3="Stage 3",$B$5=20,$B$11&gt;11),1,IF(AND($B$3="Stage 3",OR($B$15="Year 10-11-12 Girls"),$B$5&gt;20),MAX(2,Setup!$B$14),Setup!$B$14)))))</f>
        <v>1</v>
      </c>
      <c r="BO37" s="20" t="b">
        <f>IF(AN37="",FALSE,AND(AN37&lt;&gt;IF(AND($B$3="Stage 3",OR($B$15="Year 8 Boys",$B$15="Year 9 Boys",$B$15="Year 10-11 Boys"),$B$8="One Keeper"),$E$4,""),AN37&lt;&gt;$B37,AN37&lt;&gt;$C36,IFERROR(INDEX($E$18:$E$30,MATCH(AN37,$B$18:$B$30,0)),"No")="Yes",COUNTIF($C$32:$C36,AN37)&lt;$B$6,COUNTIF($C$32:$C36,AN37)&lt;IF($B$3="Stage 1",MIN($B$6,MAX(1,INT($B$5/$B$11))),IF(AND($B$3="Stage 3",$B$5=20,$B$11&gt;11),1,IF(AND($B$3="Stage 3",OR($B$15="Year 10-11-12 Girls"),$B$5&gt;20),MAX(2,Setup!$B$14),Setup!$B$14)))))</f>
        <v>1</v>
      </c>
      <c r="BP37" s="20" t="b">
        <f>IF(AO37="",FALSE,AND(AO37&lt;&gt;IF(AND($B$3="Stage 3",OR($B$15="Year 8 Boys",$B$15="Year 9 Boys",$B$15="Year 10-11 Boys"),$B$8="One Keeper"),$E$4,""),AO37&lt;&gt;$B37,AO37&lt;&gt;$C36,IFERROR(INDEX($E$18:$E$30,MATCH(AO37,$B$18:$B$30,0)),"No")="Yes",COUNTIF($C$32:$C36,AO37)&lt;$B$6,COUNTIF($C$32:$C36,AO37)&lt;IF($B$3="Stage 1",MIN($B$6,MAX(1,INT($B$5/$B$11))),IF(AND($B$3="Stage 3",$B$5=20,$B$11&gt;11),1,IF(AND($B$3="Stage 3",OR($B$15="Year 10-11-12 Girls"),$B$5&gt;20),MAX(2,Setup!$B$14),Setup!$B$14)))))</f>
        <v>0</v>
      </c>
      <c r="BQ37" s="20" t="b">
        <f>IF(AP37="",FALSE,AND(AP37&lt;&gt;IF(AND($B$3="Stage 3",OR($B$15="Year 8 Boys",$B$15="Year 9 Boys",$B$15="Year 10-11 Boys"),$B$8="One Keeper"),$E$4,""),AP37&lt;&gt;$B37,AP37&lt;&gt;$C36,IFERROR(INDEX($E$18:$E$30,MATCH(AP37,$B$18:$B$30,0)),"No")="Yes",COUNTIF($C$32:$C36,AP37)&lt;$B$6,COUNTIF($C$32:$C36,AP37)&lt;IF($B$3="Stage 1",MIN($B$6,MAX(1,INT($B$5/$B$11))),IF(AND($B$3="Stage 3",$B$5=20,$B$11&gt;11),1,IF(AND($B$3="Stage 3",OR($B$15="Year 10-11-12 Girls"),$B$5&gt;20),MAX(2,Setup!$B$14),Setup!$B$14)))))</f>
        <v>0</v>
      </c>
      <c r="BR37" s="20" t="b">
        <f>IF(AQ37="",FALSE,AND(AQ37&lt;&gt;IF(AND($B$3="Stage 3",OR($B$15="Year 8 Boys",$B$15="Year 9 Boys",$B$15="Year 10-11 Boys"),$B$8="One Keeper"),$E$4,""),AQ37&lt;&gt;$B37,AQ37&lt;&gt;$C36,IFERROR(INDEX($E$18:$E$30,MATCH(AQ37,$B$18:$B$30,0)),"No")="Yes",COUNTIF($C$32:$C36,AQ37)&lt;$B$6,COUNTIF($C$32:$C36,AQ37)&lt;IF($B$3="Stage 1",MIN($B$6,MAX(1,INT($B$5/$B$11))),IF(AND($B$3="Stage 3",$B$5=20,$B$11&gt;11),1,IF(AND($B$3="Stage 3",OR($B$15="Year 10-11-12 Girls"),$B$5&gt;20),MAX(2,Setup!$B$14),Setup!$B$14)))))</f>
        <v>0</v>
      </c>
      <c r="BS37" s="20" t="b">
        <f>IF(AR37="",FALSE,AND(AR37&lt;&gt;IF(AND($B$3="Stage 3",OR($B$15="Year 8 Boys",$B$15="Year 9 Boys",$B$15="Year 10-11 Boys"),$B$8="One Keeper"),$E$4,""),AR37&lt;&gt;$B37,AR37&lt;&gt;$C36,IFERROR(INDEX($E$18:$E$30,MATCH(AR37,$B$18:$B$30,0)),"No")="Yes",COUNTIF($C$32:$C36,AR37)&lt;$B$6,COUNTIF($C$32:$C36,AR37)&lt;IF($B$3="Stage 1",MIN($B$6,MAX(1,INT($B$5/$B$11))),IF(AND($B$3="Stage 3",$B$5=20,$B$11&gt;11),1,IF(AND($B$3="Stage 3",OR($B$15="Year 10-11-12 Girls"),$B$5&gt;20),MAX(2,Setup!$B$14),Setup!$B$14)))))</f>
        <v>1</v>
      </c>
      <c r="BT37" s="20" t="b">
        <f>IF(AS37="",FALSE,AND(AS37&lt;&gt;IF(AND($B$3="Stage 3",OR($B$15="Year 8 Boys",$B$15="Year 9 Boys",$B$15="Year 10-11 Boys"),$B$8="One Keeper"),$E$4,""),AS37&lt;&gt;$B37,AS37&lt;&gt;$C36,IFERROR(INDEX($E$18:$E$30,MATCH(AS37,$B$18:$B$30,0)),"No")="Yes",COUNTIF($C$32:$C36,AS37)&lt;$B$6,COUNTIF($C$32:$C36,AS37)&lt;IF($B$3="Stage 1",MIN($B$6,MAX(1,INT($B$5/$B$11))),IF(AND($B$3="Stage 3",$B$5=20,$B$11&gt;11),1,IF(AND($B$3="Stage 3",OR($B$15="Year 10-11-12 Girls"),$B$5&gt;20),MAX(2,Setup!$B$14),Setup!$B$14)))))</f>
        <v>1</v>
      </c>
      <c r="BU37" s="20" t="b">
        <f>IF(AT37="",FALSE,AND(AT37&lt;&gt;IF(AND($B$3="Stage 3",OR($B$15="Year 8 Boys",$B$15="Year 9 Boys",$B$15="Year 10-11 Boys"),$B$8="One Keeper"),$E$4,""),AT37&lt;&gt;$B37,AT37&lt;&gt;$C36,IFERROR(INDEX($E$18:$E$30,MATCH(AT37,$B$18:$B$30,0)),"No")="Yes",COUNTIF($C$32:$C36,AT37)&lt;$B$6,COUNTIF($C$32:$C36,AT37)&lt;IF($B$3="Stage 1",MIN($B$6,MAX(1,INT($B$5/$B$11))),IF(AND($B$3="Stage 3",$B$5=20,$B$11&gt;11),1,IF(AND($B$3="Stage 3",OR($B$15="Year 10-11-12 Girls"),$B$5&gt;20),MAX(2,Setup!$B$14),Setup!$B$14)))))</f>
        <v>1</v>
      </c>
      <c r="BV37" s="20" t="b">
        <f>IF(AU37="",FALSE,AND(AU37&lt;&gt;IF(AND($B$3="Stage 3",OR($B$15="Year 8 Boys",$B$15="Year 9 Boys",$B$15="Year 10-11 Boys"),$B$8="One Keeper"),$E$4,""),AU37&lt;&gt;$B37,AU37&lt;&gt;$C36,IFERROR(INDEX($E$18:$E$30,MATCH(AU37,$B$18:$B$30,0)),"No")="Yes",COUNTIF($C$32:$C36,AU37)&lt;$B$6,COUNTIF($C$32:$C36,AU37)&lt;IF($B$3="Stage 1",MIN($B$6,MAX(1,INT($B$5/$B$11))),IF(AND($B$3="Stage 3",$B$5=20,$B$11&gt;11),1,IF(AND($B$3="Stage 3",OR($B$15="Year 10-11-12 Girls"),$B$5&gt;20),MAX(2,Setup!$B$14),Setup!$B$14)))))</f>
        <v>1</v>
      </c>
      <c r="BW37" s="20"/>
      <c r="BX37" s="20"/>
      <c r="BY37" s="20"/>
      <c r="BZ37" s="20"/>
      <c r="CA37" s="20"/>
      <c r="CB37" s="20"/>
      <c r="CC37" s="20"/>
      <c r="CD37" s="20"/>
      <c r="CE37" s="20"/>
      <c r="CF37" s="20"/>
      <c r="CG37" s="20"/>
      <c r="CH37" s="20"/>
      <c r="CI37" s="20"/>
      <c r="CJ37" s="20"/>
      <c r="CK37" s="20"/>
    </row>
    <row r="38" spans="1:89" ht="26.4" customHeight="1">
      <c r="A38" s="18">
        <v>7</v>
      </c>
      <c r="B38" s="18" t="str">
        <f t="shared" si="5"/>
        <v>Player 1</v>
      </c>
      <c r="C38" s="18" t="str">
        <f t="shared" si="6"/>
        <v>Player 4</v>
      </c>
      <c r="D38" s="18">
        <f t="shared" si="7"/>
        <v>2</v>
      </c>
      <c r="E38" s="18">
        <f>IF($C38="","",COUNTIF($C$32:C38,$C38))</f>
        <v>1</v>
      </c>
      <c r="F38" s="18" t="str">
        <f t="shared" si="8"/>
        <v/>
      </c>
      <c r="H38" s="18" t="str">
        <f t="shared" si="9"/>
        <v>Player 7</v>
      </c>
      <c r="I38" s="18">
        <f t="shared" si="10"/>
        <v>3</v>
      </c>
      <c r="J38" s="18" t="str">
        <f t="shared" si="11"/>
        <v>OK</v>
      </c>
      <c r="K38" s="18" t="str">
        <f>IF($H38="","",IF($B$3="Stage 1","",IF($B$10="Finals","Finals",IF($B$3="Stage 2",IF($B$5=20,IF($B$11=11,IF($I38&gt;=1,"OK","Needs 1+"),IF($I38&gt;=2,"OK","Needs 2")),IF($B$5=30,IF($I38&gt;=2,"OK","Needs 2"),IF($I38&gt;=Setup!$B$14,"OK","Below target"))),IF($B$3="Stage 3",IF(OR($B$15="Year 8 Boys",$B$15="Year 9 Boys",$B$15="Year 10-11 Boys"),"Team rule",IF($B$5=20,IF($B$11&gt;10,IF($I38&gt;=1,"OK","Needs 1+"),IF($I38&gt;=2,"OK","Needs 2")),IF($I38&gt;=MAX(2,Setup!$B$14),"OK","Needs "&amp;MAX(2,Setup!$B$14)))),"")))))</f>
        <v/>
      </c>
      <c r="L38" s="18" t="str">
        <f t="shared" si="12"/>
        <v>Yes</v>
      </c>
      <c r="M38" s="18" t="str">
        <f t="shared" si="13"/>
        <v/>
      </c>
      <c r="N38" s="18" t="str">
        <f t="shared" si="14"/>
        <v/>
      </c>
      <c r="T38" s="20">
        <f t="shared" si="15"/>
        <v>7</v>
      </c>
      <c r="U38" s="20" t="b">
        <f>IF(OR($B$3="Stage 2",AND($B$3="Stage 3",OR($B$15="Year 10-11-12 Girls"))),(IF(AND($P$18&lt;&gt;"",$P$18&lt;&gt;$E$4,COUNTIF($C$32:$C37,$P$18)&gt;=2),1,0)+IF(AND($P$19&lt;&gt;"",$P$19&lt;&gt;$E$4,COUNTIF($C$32:$C37,$P$19)&gt;=2),1,0)+IF(AND($P$20&lt;&gt;"",$P$20&lt;&gt;$E$4,COUNTIF($C$32:$C37,$P$20)&gt;=2),1,0)+IF(AND($P$21&lt;&gt;"",$P$21&lt;&gt;$E$4,COUNTIF($C$32:$C37,$P$21)&gt;=2),1,0)+IF(AND($P$22&lt;&gt;"",$P$22&lt;&gt;$E$4,COUNTIF($C$32:$C37,$P$22)&gt;=2),1,0)+IF(AND($P$23&lt;&gt;"",$P$23&lt;&gt;$E$4,COUNTIF($C$32:$C37,$P$23)&gt;=2),1,0)+IF(AND($P$24&lt;&gt;"",$P$24&lt;&gt;$E$4,COUNTIF($C$32:$C37,$P$24)&gt;=2),1,0)+IF(AND($P$25&lt;&gt;"",$P$25&lt;&gt;$E$4,COUNTIF($C$32:$C37,$P$25)&gt;=2),1,0)+IF(AND($P$26&lt;&gt;"",$P$26&lt;&gt;$E$4,COUNTIF($C$32:$C37,$P$26)&gt;=2),1,0)+IF(AND($P$27&lt;&gt;"",$P$27&lt;&gt;$E$4,COUNTIF($C$32:$C37,$P$27)&gt;=2),1,0)+IF(AND($P$28&lt;&gt;"",$P$28&lt;&gt;$E$4,COUNTIF($C$32:$C37,$P$28)&gt;=2),1,0)+IF(AND($P$29&lt;&gt;"",$P$29&lt;&gt;$E$4,COUNTIF($C$32:$C37,$P$29)&gt;=2),1,0)+IF(AND($P$30&lt;&gt;"",$P$30&lt;&gt;$E$4,COUNTIF($C$32:$C37,$P$30)&gt;=2),1,0))&gt;=MAX(0,$B$11-1),IF(AND($B$3="Stage 3",OR($B$15="Year 8 Boys",$B$15="Year 9 Boys",$B$15="Year 10-11 Boys")),(IF(AND($P$18&lt;&gt;"",COUNTIF($C$32:$C37,$P$18)&gt;=2),1,0)+IF(AND($P$19&lt;&gt;"",COUNTIF($C$32:$C37,$P$19)&gt;=2),1,0)+IF(AND($P$20&lt;&gt;"",COUNTIF($C$32:$C37,$P$20)&gt;=2),1,0)+IF(AND($P$21&lt;&gt;"",COUNTIF($C$32:$C37,$P$21)&gt;=2),1,0)+IF(AND($P$22&lt;&gt;"",COUNTIF($C$32:$C37,$P$22)&gt;=2),1,0)+IF(AND($P$23&lt;&gt;"",COUNTIF($C$32:$C37,$P$23)&gt;=2),1,0)+IF(AND($P$24&lt;&gt;"",COUNTIF($C$32:$C37,$P$24)&gt;=2),1,0)+IF(AND($P$25&lt;&gt;"",COUNTIF($C$32:$C37,$P$25)&gt;=2),1,0)+IF(AND($P$26&lt;&gt;"",COUNTIF($C$32:$C37,$P$26)&gt;=2),1,0)+IF(AND($P$27&lt;&gt;"",COUNTIF($C$32:$C37,$P$27)&gt;=2),1,0)+IF(AND($P$28&lt;&gt;"",COUNTIF($C$32:$C37,$P$28)&gt;=2),1,0)+IF(AND($P$29&lt;&gt;"",COUNTIF($C$32:$C37,$P$29)&gt;=2),1,0)+IF(AND($P$30&lt;&gt;"",COUNTIF($C$32:$C37,$P$30)&gt;=2),1,0))&gt;=7,TRUE))</f>
        <v>1</v>
      </c>
      <c r="V38" s="20">
        <f t="shared" si="16"/>
        <v>7</v>
      </c>
      <c r="W38" s="20">
        <f t="shared" si="16"/>
        <v>1</v>
      </c>
      <c r="X38" s="20">
        <f t="shared" si="16"/>
        <v>2</v>
      </c>
      <c r="Y38" s="20">
        <f t="shared" si="16"/>
        <v>3</v>
      </c>
      <c r="Z38" s="20">
        <f t="shared" si="16"/>
        <v>4</v>
      </c>
      <c r="AA38" s="20">
        <f t="shared" si="16"/>
        <v>5</v>
      </c>
      <c r="AB38" s="20">
        <f t="shared" si="16"/>
        <v>6</v>
      </c>
      <c r="AC38" s="20">
        <f t="shared" si="16"/>
        <v>7</v>
      </c>
      <c r="AD38" s="20">
        <f t="shared" si="16"/>
        <v>1</v>
      </c>
      <c r="AE38" s="20">
        <f t="shared" si="16"/>
        <v>2</v>
      </c>
      <c r="AF38" s="20">
        <f t="shared" si="16"/>
        <v>3</v>
      </c>
      <c r="AG38" s="20">
        <f t="shared" si="16"/>
        <v>4</v>
      </c>
      <c r="AH38" s="20">
        <f t="shared" si="16"/>
        <v>5</v>
      </c>
      <c r="AI38" s="20" t="str">
        <f t="shared" si="17"/>
        <v>Player 2</v>
      </c>
      <c r="AJ38" s="20" t="str">
        <f t="shared" si="18"/>
        <v>Player 3</v>
      </c>
      <c r="AK38" s="20" t="str">
        <f t="shared" si="19"/>
        <v>Player 4</v>
      </c>
      <c r="AL38" s="20" t="str">
        <f t="shared" si="20"/>
        <v>Player 5</v>
      </c>
      <c r="AM38" s="20" t="str">
        <f t="shared" si="21"/>
        <v>Player 6</v>
      </c>
      <c r="AN38" s="20" t="str">
        <f t="shared" si="22"/>
        <v>Player 7</v>
      </c>
      <c r="AO38" s="20" t="str">
        <f t="shared" si="23"/>
        <v>Player 1</v>
      </c>
      <c r="AP38" s="20" t="str">
        <f t="shared" si="24"/>
        <v>Player 2</v>
      </c>
      <c r="AQ38" s="20" t="str">
        <f t="shared" si="25"/>
        <v>Player 3</v>
      </c>
      <c r="AR38" s="20" t="str">
        <f t="shared" si="26"/>
        <v>Player 4</v>
      </c>
      <c r="AS38" s="20" t="str">
        <f t="shared" si="27"/>
        <v>Player 5</v>
      </c>
      <c r="AT38" s="20" t="str">
        <f t="shared" si="28"/>
        <v>Player 6</v>
      </c>
      <c r="AU38" s="20" t="str">
        <f t="shared" si="29"/>
        <v>Player 7</v>
      </c>
      <c r="AV38" s="20" t="b">
        <f>IF(AI38="",FALSE,AND(AI38&lt;&gt;$B38,AI38&lt;&gt;$C37,IFERROR(INDEX($E$18:$E$30,MATCH(AI38,$B$18:$B$30,0)),"No")="Yes",IF(AND(OR($B$3="Stage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Girls"))),$B$5&gt;20),MIN(3,MAX(2,Setup!$B$14)),2))*2),AI38=$E$5,IF(AND(OR($B$3="Stage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Girls"))),$B$5&gt;20),MIN(3,MAX(2,Setup!$B$14)),2))*2-1))),AI38=$E$4,TRUE)),COUNTIF($C$32:$C37,AI38)&lt;$B$6,IF($BI38,COUNTIF($C$32:$C37,AI38)&lt;IF($B$3="Stage 1",MIN($B$6,MAX(1,INT($B$5/$B$11))),IF(AND($B$3="Stage 3",$B$5=20,$B$11&gt;11),1,IF(AND($B$3="Stage 3",OR($B$15="Year 10-11-12 Girls"),$B$5&gt;20),MAX(2,Setup!$B$14),Setup!$B$14))),IF(AND($B$3&lt;&gt;"Stage 2",$B$3&lt;&gt;"Stage 3"),TRUE,IF($U38,TRUE,COUNTIF($C$32:$C37,AI38)&lt;IF(AND($B$3="Stage 2",$B$5=20,AI38=$E$5,$A38&lt;=IF($B$8="One Keeper",$B$5,$B$8)),2,IF(AND(OR($B$3="Stage 2",AND($B$3="Stage 3",OR($B$15="Year 10-11-12 Girls"))),AI38=$E$5,$A38&lt;=IF($B$8="One Keeper",$B$5,$B$8)),3,$B$9)))))))</f>
        <v>0</v>
      </c>
      <c r="AW38" s="20" t="b">
        <f>IF(AJ38="",FALSE,AND(AJ38&lt;&gt;$B38,AJ38&lt;&gt;$C37,IFERROR(INDEX($E$18:$E$30,MATCH(AJ38,$B$18:$B$30,0)),"No")="Yes",IF(AND(OR($B$3="Stage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Girls"))),$B$5&gt;20),MIN(3,MAX(2,Setup!$B$14)),2))*2),AJ38=$E$5,IF(AND(OR($B$3="Stage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Girls"))),$B$5&gt;20),MIN(3,MAX(2,Setup!$B$14)),2))*2-1))),AJ38=$E$4,TRUE)),COUNTIF($C$32:$C37,AJ38)&lt;$B$6,IF($BI38,COUNTIF($C$32:$C37,AJ38)&lt;IF($B$3="Stage 1",MIN($B$6,MAX(1,INT($B$5/$B$11))),IF(AND($B$3="Stage 3",$B$5=20,$B$11&gt;11),1,IF(AND($B$3="Stage 3",OR($B$15="Year 10-11-12 Girls"),$B$5&gt;20),MAX(2,Setup!$B$14),Setup!$B$14))),IF(AND($B$3&lt;&gt;"Stage 2",$B$3&lt;&gt;"Stage 3"),TRUE,IF($U38,TRUE,COUNTIF($C$32:$C37,AJ38)&lt;IF(AND($B$3="Stage 2",$B$5=20,AJ38=$E$5,$A38&lt;=IF($B$8="One Keeper",$B$5,$B$8)),2,IF(AND(OR($B$3="Stage 2",AND($B$3="Stage 3",OR($B$15="Year 10-11-12 Girls"))),AJ38=$E$5,$A38&lt;=IF($B$8="One Keeper",$B$5,$B$8)),3,$B$9)))))))</f>
        <v>0</v>
      </c>
      <c r="AX38" s="20" t="b">
        <f>IF(AK38="",FALSE,AND(AK38&lt;&gt;$B38,AK38&lt;&gt;$C37,IFERROR(INDEX($E$18:$E$30,MATCH(AK38,$B$18:$B$30,0)),"No")="Yes",IF(AND(OR($B$3="Stage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Girls"))),$B$5&gt;20),MIN(3,MAX(2,Setup!$B$14)),2))*2),AK38=$E$5,IF(AND(OR($B$3="Stage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Girls"))),$B$5&gt;20),MIN(3,MAX(2,Setup!$B$14)),2))*2-1))),AK38=$E$4,TRUE)),COUNTIF($C$32:$C37,AK38)&lt;$B$6,IF($BI38,COUNTIF($C$32:$C37,AK38)&lt;IF($B$3="Stage 1",MIN($B$6,MAX(1,INT($B$5/$B$11))),IF(AND($B$3="Stage 3",$B$5=20,$B$11&gt;11),1,IF(AND($B$3="Stage 3",OR($B$15="Year 10-11-12 Girls"),$B$5&gt;20),MAX(2,Setup!$B$14),Setup!$B$14))),IF(AND($B$3&lt;&gt;"Stage 2",$B$3&lt;&gt;"Stage 3"),TRUE,IF($U38,TRUE,COUNTIF($C$32:$C37,AK38)&lt;IF(AND($B$3="Stage 2",$B$5=20,AK38=$E$5,$A38&lt;=IF($B$8="One Keeper",$B$5,$B$8)),2,IF(AND(OR($B$3="Stage 2",AND($B$3="Stage 3",OR($B$15="Year 10-11-12 Girls"))),AK38=$E$5,$A38&lt;=IF($B$8="One Keeper",$B$5,$B$8)),3,$B$9)))))))</f>
        <v>1</v>
      </c>
      <c r="AY38" s="20" t="b">
        <f>IF(AL38="",FALSE,AND(AL38&lt;&gt;$B38,AL38&lt;&gt;$C37,IFERROR(INDEX($E$18:$E$30,MATCH(AL38,$B$18:$B$30,0)),"No")="Yes",IF(AND(OR($B$3="Stage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Girls"))),$B$5&gt;20),MIN(3,MAX(2,Setup!$B$14)),2))*2),AL38=$E$5,IF(AND(OR($B$3="Stage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Girls"))),$B$5&gt;20),MIN(3,MAX(2,Setup!$B$14)),2))*2-1))),AL38=$E$4,TRUE)),COUNTIF($C$32:$C37,AL38)&lt;$B$6,IF($BI38,COUNTIF($C$32:$C37,AL38)&lt;IF($B$3="Stage 1",MIN($B$6,MAX(1,INT($B$5/$B$11))),IF(AND($B$3="Stage 3",$B$5=20,$B$11&gt;11),1,IF(AND($B$3="Stage 3",OR($B$15="Year 10-11-12 Girls"),$B$5&gt;20),MAX(2,Setup!$B$14),Setup!$B$14))),IF(AND($B$3&lt;&gt;"Stage 2",$B$3&lt;&gt;"Stage 3"),TRUE,IF($U38,TRUE,COUNTIF($C$32:$C37,AL38)&lt;IF(AND($B$3="Stage 2",$B$5=20,AL38=$E$5,$A38&lt;=IF($B$8="One Keeper",$B$5,$B$8)),2,IF(AND(OR($B$3="Stage 2",AND($B$3="Stage 3",OR($B$15="Year 10-11-12 Girls"))),AL38=$E$5,$A38&lt;=IF($B$8="One Keeper",$B$5,$B$8)),3,$B$9)))))))</f>
        <v>1</v>
      </c>
      <c r="AZ38" s="20" t="b">
        <f>IF(AM38="",FALSE,AND(AM38&lt;&gt;$B38,AM38&lt;&gt;$C37,IFERROR(INDEX($E$18:$E$30,MATCH(AM38,$B$18:$B$30,0)),"No")="Yes",IF(AND(OR($B$3="Stage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Girls"))),$B$5&gt;20),MIN(3,MAX(2,Setup!$B$14)),2))*2),AM38=$E$5,IF(AND(OR($B$3="Stage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Girls"))),$B$5&gt;20),MIN(3,MAX(2,Setup!$B$14)),2))*2-1))),AM38=$E$4,TRUE)),COUNTIF($C$32:$C37,AM38)&lt;$B$6,IF($BI38,COUNTIF($C$32:$C37,AM38)&lt;IF($B$3="Stage 1",MIN($B$6,MAX(1,INT($B$5/$B$11))),IF(AND($B$3="Stage 3",$B$5=20,$B$11&gt;11),1,IF(AND($B$3="Stage 3",OR($B$15="Year 10-11-12 Girls"),$B$5&gt;20),MAX(2,Setup!$B$14),Setup!$B$14))),IF(AND($B$3&lt;&gt;"Stage 2",$B$3&lt;&gt;"Stage 3"),TRUE,IF($U38,TRUE,COUNTIF($C$32:$C37,AM38)&lt;IF(AND($B$3="Stage 2",$B$5=20,AM38=$E$5,$A38&lt;=IF($B$8="One Keeper",$B$5,$B$8)),2,IF(AND(OR($B$3="Stage 2",AND($B$3="Stage 3",OR($B$15="Year 10-11-12 Girls"))),AM38=$E$5,$A38&lt;=IF($B$8="One Keeper",$B$5,$B$8)),3,$B$9)))))))</f>
        <v>1</v>
      </c>
      <c r="BA38" s="20" t="b">
        <f>IF(AN38="",FALSE,AND(AN38&lt;&gt;$B38,AN38&lt;&gt;$C37,IFERROR(INDEX($E$18:$E$30,MATCH(AN38,$B$18:$B$30,0)),"No")="Yes",IF(AND(OR($B$3="Stage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Girls"))),$B$5&gt;20),MIN(3,MAX(2,Setup!$B$14)),2))*2),AN38=$E$5,IF(AND(OR($B$3="Stage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Girls"))),$B$5&gt;20),MIN(3,MAX(2,Setup!$B$14)),2))*2-1))),AN38=$E$4,TRUE)),COUNTIF($C$32:$C37,AN38)&lt;$B$6,IF($BI38,COUNTIF($C$32:$C37,AN38)&lt;IF($B$3="Stage 1",MIN($B$6,MAX(1,INT($B$5/$B$11))),IF(AND($B$3="Stage 3",$B$5=20,$B$11&gt;11),1,IF(AND($B$3="Stage 3",OR($B$15="Year 10-11-12 Girls"),$B$5&gt;20),MAX(2,Setup!$B$14),Setup!$B$14))),IF(AND($B$3&lt;&gt;"Stage 2",$B$3&lt;&gt;"Stage 3"),TRUE,IF($U38,TRUE,COUNTIF($C$32:$C37,AN38)&lt;IF(AND($B$3="Stage 2",$B$5=20,AN38=$E$5,$A38&lt;=IF($B$8="One Keeper",$B$5,$B$8)),2,IF(AND(OR($B$3="Stage 2",AND($B$3="Stage 3",OR($B$15="Year 10-11-12 Girls"))),AN38=$E$5,$A38&lt;=IF($B$8="One Keeper",$B$5,$B$8)),3,$B$9)))))))</f>
        <v>1</v>
      </c>
      <c r="BB38" s="20" t="b">
        <f>IF(AO38="",FALSE,AND(AO38&lt;&gt;$B38,AO38&lt;&gt;$C37,IFERROR(INDEX($E$18:$E$30,MATCH(AO38,$B$18:$B$30,0)),"No")="Yes",IF(AND(OR($B$3="Stage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Girls"))),$B$5&gt;20),MIN(3,MAX(2,Setup!$B$14)),2))*2),AO38=$E$5,IF(AND(OR($B$3="Stage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Girls"))),$B$5&gt;20),MIN(3,MAX(2,Setup!$B$14)),2))*2-1))),AO38=$E$4,TRUE)),COUNTIF($C$32:$C37,AO38)&lt;$B$6,IF($BI38,COUNTIF($C$32:$C37,AO38)&lt;IF($B$3="Stage 1",MIN($B$6,MAX(1,INT($B$5/$B$11))),IF(AND($B$3="Stage 3",$B$5=20,$B$11&gt;11),1,IF(AND($B$3="Stage 3",OR($B$15="Year 10-11-12 Girls"),$B$5&gt;20),MAX(2,Setup!$B$14),Setup!$B$14))),IF(AND($B$3&lt;&gt;"Stage 2",$B$3&lt;&gt;"Stage 3"),TRUE,IF($U38,TRUE,COUNTIF($C$32:$C37,AO38)&lt;IF(AND($B$3="Stage 2",$B$5=20,AO38=$E$5,$A38&lt;=IF($B$8="One Keeper",$B$5,$B$8)),2,IF(AND(OR($B$3="Stage 2",AND($B$3="Stage 3",OR($B$15="Year 10-11-12 Girls"))),AO38=$E$5,$A38&lt;=IF($B$8="One Keeper",$B$5,$B$8)),3,$B$9)))))))</f>
        <v>0</v>
      </c>
      <c r="BC38" s="20" t="b">
        <f>IF(AP38="",FALSE,AND(AP38&lt;&gt;$B38,AP38&lt;&gt;$C37,IFERROR(INDEX($E$18:$E$30,MATCH(AP38,$B$18:$B$30,0)),"No")="Yes",IF(AND(OR($B$3="Stage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Girls"))),$B$5&gt;20),MIN(3,MAX(2,Setup!$B$14)),2))*2),AP38=$E$5,IF(AND(OR($B$3="Stage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Girls"))),$B$5&gt;20),MIN(3,MAX(2,Setup!$B$14)),2))*2-1))),AP38=$E$4,TRUE)),COUNTIF($C$32:$C37,AP38)&lt;$B$6,IF($BI38,COUNTIF($C$32:$C37,AP38)&lt;IF($B$3="Stage 1",MIN($B$6,MAX(1,INT($B$5/$B$11))),IF(AND($B$3="Stage 3",$B$5=20,$B$11&gt;11),1,IF(AND($B$3="Stage 3",OR($B$15="Year 10-11-12 Girls"),$B$5&gt;20),MAX(2,Setup!$B$14),Setup!$B$14))),IF(AND($B$3&lt;&gt;"Stage 2",$B$3&lt;&gt;"Stage 3"),TRUE,IF($U38,TRUE,COUNTIF($C$32:$C37,AP38)&lt;IF(AND($B$3="Stage 2",$B$5=20,AP38=$E$5,$A38&lt;=IF($B$8="One Keeper",$B$5,$B$8)),2,IF(AND(OR($B$3="Stage 2",AND($B$3="Stage 3",OR($B$15="Year 10-11-12 Girls"))),AP38=$E$5,$A38&lt;=IF($B$8="One Keeper",$B$5,$B$8)),3,$B$9)))))))</f>
        <v>0</v>
      </c>
      <c r="BD38" s="20" t="b">
        <f>IF(AQ38="",FALSE,AND(AQ38&lt;&gt;$B38,AQ38&lt;&gt;$C37,IFERROR(INDEX($E$18:$E$30,MATCH(AQ38,$B$18:$B$30,0)),"No")="Yes",IF(AND(OR($B$3="Stage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Girls"))),$B$5&gt;20),MIN(3,MAX(2,Setup!$B$14)),2))*2),AQ38=$E$5,IF(AND(OR($B$3="Stage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Girls"))),$B$5&gt;20),MIN(3,MAX(2,Setup!$B$14)),2))*2-1))),AQ38=$E$4,TRUE)),COUNTIF($C$32:$C37,AQ38)&lt;$B$6,IF($BI38,COUNTIF($C$32:$C37,AQ38)&lt;IF($B$3="Stage 1",MIN($B$6,MAX(1,INT($B$5/$B$11))),IF(AND($B$3="Stage 3",$B$5=20,$B$11&gt;11),1,IF(AND($B$3="Stage 3",OR($B$15="Year 10-11-12 Girls"),$B$5&gt;20),MAX(2,Setup!$B$14),Setup!$B$14))),IF(AND($B$3&lt;&gt;"Stage 2",$B$3&lt;&gt;"Stage 3"),TRUE,IF($U38,TRUE,COUNTIF($C$32:$C37,AQ38)&lt;IF(AND($B$3="Stage 2",$B$5=20,AQ38=$E$5,$A38&lt;=IF($B$8="One Keeper",$B$5,$B$8)),2,IF(AND(OR($B$3="Stage 2",AND($B$3="Stage 3",OR($B$15="Year 10-11-12 Girls"))),AQ38=$E$5,$A38&lt;=IF($B$8="One Keeper",$B$5,$B$8)),3,$B$9)))))))</f>
        <v>0</v>
      </c>
      <c r="BE38" s="20" t="b">
        <f>IF(AR38="",FALSE,AND(AR38&lt;&gt;$B38,AR38&lt;&gt;$C37,IFERROR(INDEX($E$18:$E$30,MATCH(AR38,$B$18:$B$30,0)),"No")="Yes",IF(AND(OR($B$3="Stage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Girls"))),$B$5&gt;20),MIN(3,MAX(2,Setup!$B$14)),2))*2),AR38=$E$5,IF(AND(OR($B$3="Stage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Girls"))),$B$5&gt;20),MIN(3,MAX(2,Setup!$B$14)),2))*2-1))),AR38=$E$4,TRUE)),COUNTIF($C$32:$C37,AR38)&lt;$B$6,IF($BI38,COUNTIF($C$32:$C37,AR38)&lt;IF($B$3="Stage 1",MIN($B$6,MAX(1,INT($B$5/$B$11))),IF(AND($B$3="Stage 3",$B$5=20,$B$11&gt;11),1,IF(AND($B$3="Stage 3",OR($B$15="Year 10-11-12 Girls"),$B$5&gt;20),MAX(2,Setup!$B$14),Setup!$B$14))),IF(AND($B$3&lt;&gt;"Stage 2",$B$3&lt;&gt;"Stage 3"),TRUE,IF($U38,TRUE,COUNTIF($C$32:$C37,AR38)&lt;IF(AND($B$3="Stage 2",$B$5=20,AR38=$E$5,$A38&lt;=IF($B$8="One Keeper",$B$5,$B$8)),2,IF(AND(OR($B$3="Stage 2",AND($B$3="Stage 3",OR($B$15="Year 10-11-12 Girls"))),AR38=$E$5,$A38&lt;=IF($B$8="One Keeper",$B$5,$B$8)),3,$B$9)))))))</f>
        <v>1</v>
      </c>
      <c r="BF38" s="20" t="b">
        <f>IF(AS38="",FALSE,AND(AS38&lt;&gt;$B38,AS38&lt;&gt;$C37,IFERROR(INDEX($E$18:$E$30,MATCH(AS38,$B$18:$B$30,0)),"No")="Yes",IF(AND(OR($B$3="Stage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Girls"))),$B$5&gt;20),MIN(3,MAX(2,Setup!$B$14)),2))*2),AS38=$E$5,IF(AND(OR($B$3="Stage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Girls"))),$B$5&gt;20),MIN(3,MAX(2,Setup!$B$14)),2))*2-1))),AS38=$E$4,TRUE)),COUNTIF($C$32:$C37,AS38)&lt;$B$6,IF($BI38,COUNTIF($C$32:$C37,AS38)&lt;IF($B$3="Stage 1",MIN($B$6,MAX(1,INT($B$5/$B$11))),IF(AND($B$3="Stage 3",$B$5=20,$B$11&gt;11),1,IF(AND($B$3="Stage 3",OR($B$15="Year 10-11-12 Girls"),$B$5&gt;20),MAX(2,Setup!$B$14),Setup!$B$14))),IF(AND($B$3&lt;&gt;"Stage 2",$B$3&lt;&gt;"Stage 3"),TRUE,IF($U38,TRUE,COUNTIF($C$32:$C37,AS38)&lt;IF(AND($B$3="Stage 2",$B$5=20,AS38=$E$5,$A38&lt;=IF($B$8="One Keeper",$B$5,$B$8)),2,IF(AND(OR($B$3="Stage 2",AND($B$3="Stage 3",OR($B$15="Year 10-11-12 Girls"))),AS38=$E$5,$A38&lt;=IF($B$8="One Keeper",$B$5,$B$8)),3,$B$9)))))))</f>
        <v>1</v>
      </c>
      <c r="BG38" s="20" t="b">
        <f>IF(AT38="",FALSE,AND(AT38&lt;&gt;$B38,AT38&lt;&gt;$C37,IFERROR(INDEX($E$18:$E$30,MATCH(AT38,$B$18:$B$30,0)),"No")="Yes",IF(AND(OR($B$3="Stage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Girls"))),$B$5&gt;20),MIN(3,MAX(2,Setup!$B$14)),2))*2),AT38=$E$5,IF(AND(OR($B$3="Stage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Girls"))),$B$5&gt;20),MIN(3,MAX(2,Setup!$B$14)),2))*2-1))),AT38=$E$4,TRUE)),COUNTIF($C$32:$C37,AT38)&lt;$B$6,IF($BI38,COUNTIF($C$32:$C37,AT38)&lt;IF($B$3="Stage 1",MIN($B$6,MAX(1,INT($B$5/$B$11))),IF(AND($B$3="Stage 3",$B$5=20,$B$11&gt;11),1,IF(AND($B$3="Stage 3",OR($B$15="Year 10-11-12 Girls"),$B$5&gt;20),MAX(2,Setup!$B$14),Setup!$B$14))),IF(AND($B$3&lt;&gt;"Stage 2",$B$3&lt;&gt;"Stage 3"),TRUE,IF($U38,TRUE,COUNTIF($C$32:$C37,AT38)&lt;IF(AND($B$3="Stage 2",$B$5=20,AT38=$E$5,$A38&lt;=IF($B$8="One Keeper",$B$5,$B$8)),2,IF(AND(OR($B$3="Stage 2",AND($B$3="Stage 3",OR($B$15="Year 10-11-12 Girls"))),AT38=$E$5,$A38&lt;=IF($B$8="One Keeper",$B$5,$B$8)),3,$B$9)))))))</f>
        <v>1</v>
      </c>
      <c r="BH38" s="20" t="b">
        <f>IF(AU38="",FALSE,AND(AU38&lt;&gt;$B38,AU38&lt;&gt;$C37,IFERROR(INDEX($E$18:$E$30,MATCH(AU38,$B$18:$B$30,0)),"No")="Yes",IF(AND(OR($B$3="Stage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Girls"))),$B$5&gt;20),MIN(3,MAX(2,Setup!$B$14)),2))*2),AU38=$E$5,IF(AND(OR($B$3="Stage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Girls"))),$B$5&gt;20),MIN(3,MAX(2,Setup!$B$14)),2))*2-1))),AU38=$E$4,TRUE)),COUNTIF($C$32:$C37,AU38)&lt;$B$6,IF($BI38,COUNTIF($C$32:$C37,AU38)&lt;IF($B$3="Stage 1",MIN($B$6,MAX(1,INT($B$5/$B$11))),IF(AND($B$3="Stage 3",$B$5=20,$B$11&gt;11),1,IF(AND($B$3="Stage 3",OR($B$15="Year 10-11-12 Girls"),$B$5&gt;20),MAX(2,Setup!$B$14),Setup!$B$14))),IF(AND($B$3&lt;&gt;"Stage 2",$B$3&lt;&gt;"Stage 3"),TRUE,IF($U38,TRUE,COUNTIF($C$32:$C37,AU38)&lt;IF(AND($B$3="Stage 2",$B$5=20,AU38=$E$5,$A38&lt;=IF($B$8="One Keeper",$B$5,$B$8)),2,IF(AND(OR($B$3="Stage 2",AND($B$3="Stage 3",OR($B$15="Year 10-11-12 Girls"))),AU38=$E$5,$A38&lt;=IF($B$8="One Keeper",$B$5,$B$8)),3,$B$9)))))))</f>
        <v>1</v>
      </c>
      <c r="BI38"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Keeper",$E$4&lt;&gt;$E$5,$A38&lt;=IF($B$8="One Keeper",$B$5,$B$8),COUNTIF($C$32:$C37,$E$5)&lt;IF(AND($B$3="Stage 3",$B$5=20,$B$11&gt;11),1,IF(AND(OR($B$3="Stage 2",AND($B$3="Stage 3",OR($B$15="Year 10-11-12 Girls"))),$B$5&gt;20),MIN(3,MAX(2,Setup!$B$14)),2)),IFERROR(INDEX($E$18:$E$30,MATCH($E$5,$B$18:$B$30,0)),"No")="Yes",$C37&lt;&gt;$E$5,MOD($A38,2)=0,$A38&lt;=IF(AND($B$3="Stage 3",$B$5=20,$B$11&gt;11),1,IF(AND(OR($B$3="Stage 2",AND($B$3="Stage 3",OR($B$15="Year 10-11-12 Girls"))),$B$5&gt;20),MIN(3,MAX(2,Setup!$B$14)),2))*2),AND(OR($B$3="Stage 1",$B$3="Stage 2",AND($B$3="Stage 3",OR(OR($B$15="Year 10-11-12 Girls"),OR($B$15="Year 8 Boys",$B$15="Year 9 Boys",$B$15="Year 10-11 Boys")))),$B$8&lt;&gt;"One Keeper",$E$4&lt;&gt;$E$5,$A38&gt;IF($B$8="One Keeper",$B$5,$B$8),COUNTIF($C$32:$C37,$E$4)&lt;IF(AND($B$3="Stage 3",$B$5=20,$B$11&gt;11),1,IF(AND(OR($B$3="Stage 2",AND($B$3="Stage 3",OR($B$15="Year 10-11-12 Girls"))),$B$5&gt;20),MIN(3,MAX(2,Setup!$B$14)),2)),IFERROR(INDEX($E$18:$E$30,MATCH($E$4,$B$18:$B$30,0)),"No")="Yes",$C37&lt;&gt;$E$4,IF($B$7="Three-over spell",AND(MOD($A38-IF($B$8="One Keeper",$B$5,$B$8)-1,3)=0,($A38-IF($B$8="One Keeper",$B$5,$B$8))&lt;=1+(IF(AND($B$3="Stage 3",$B$5=20,$B$11&gt;11),1,IF(AND(OR($B$3="Stage 2",AND($B$3="Stage 3",OR($B$15="Year 10-11-12 Girls"))),$B$5&gt;20),MIN(3,MAX(2,Setup!$B$14)),2))-1)*3),AND(MOD($A38-IF($B$8="One Keeper",$B$5,$B$8),2)=1,($A38-IF($B$8="One Keeper",$B$5,$B$8))&lt;=IF(AND($B$3="Stage 3",$B$5=20,$B$11&gt;11),1,IF(AND(OR($B$3="Stage 2",AND($B$3="Stage 3",OR($B$15="Year 10-11-12 Girls"))),$B$5&gt;20),MIN(3,MAX(2,Setup!$B$14)),2))*2-1))))),OR($U38,AND($B$3="Stage 3",$B$5=20,$B$11&gt;11)),OR($BJ38,$BK38,$BL38,$BM38,$BN38,$BO38,$BP38,$BQ38,$BR38,$BS38,$BT38,$BU38,$BV38))</f>
        <v>1</v>
      </c>
      <c r="BJ38" s="20" t="b">
        <f>IF(AI38="",FALSE,AND(AI38&lt;&gt;IF(AND($B$3="Stage 3",OR($B$15="Year 8 Boys",$B$15="Year 9 Boys",$B$15="Year 10-11 Boys"),$B$8="One Keeper"),$E$4,""),AI38&lt;&gt;$B38,AI38&lt;&gt;$C37,IFERROR(INDEX($E$18:$E$30,MATCH(AI38,$B$18:$B$30,0)),"No")="Yes",COUNTIF($C$32:$C37,AI38)&lt;$B$6,COUNTIF($C$32:$C37,AI38)&lt;IF($B$3="Stage 1",MIN($B$6,MAX(1,INT($B$5/$B$11))),IF(AND($B$3="Stage 3",$B$5=20,$B$11&gt;11),1,IF(AND($B$3="Stage 3",OR($B$15="Year 10-11-12 Girls"),$B$5&gt;20),MAX(2,Setup!$B$14),Setup!$B$14)))))</f>
        <v>0</v>
      </c>
      <c r="BK38" s="20" t="b">
        <f>IF(AJ38="",FALSE,AND(AJ38&lt;&gt;IF(AND($B$3="Stage 3",OR($B$15="Year 8 Boys",$B$15="Year 9 Boys",$B$15="Year 10-11 Boys"),$B$8="One Keeper"),$E$4,""),AJ38&lt;&gt;$B38,AJ38&lt;&gt;$C37,IFERROR(INDEX($E$18:$E$30,MATCH(AJ38,$B$18:$B$30,0)),"No")="Yes",COUNTIF($C$32:$C37,AJ38)&lt;$B$6,COUNTIF($C$32:$C37,AJ38)&lt;IF($B$3="Stage 1",MIN($B$6,MAX(1,INT($B$5/$B$11))),IF(AND($B$3="Stage 3",$B$5=20,$B$11&gt;11),1,IF(AND($B$3="Stage 3",OR($B$15="Year 10-11-12 Girls"),$B$5&gt;20),MAX(2,Setup!$B$14),Setup!$B$14)))))</f>
        <v>0</v>
      </c>
      <c r="BL38" s="20" t="b">
        <f>IF(AK38="",FALSE,AND(AK38&lt;&gt;IF(AND($B$3="Stage 3",OR($B$15="Year 8 Boys",$B$15="Year 9 Boys",$B$15="Year 10-11 Boys"),$B$8="One Keeper"),$E$4,""),AK38&lt;&gt;$B38,AK38&lt;&gt;$C37,IFERROR(INDEX($E$18:$E$30,MATCH(AK38,$B$18:$B$30,0)),"No")="Yes",COUNTIF($C$32:$C37,AK38)&lt;$B$6,COUNTIF($C$32:$C37,AK38)&lt;IF($B$3="Stage 1",MIN($B$6,MAX(1,INT($B$5/$B$11))),IF(AND($B$3="Stage 3",$B$5=20,$B$11&gt;11),1,IF(AND($B$3="Stage 3",OR($B$15="Year 10-11-12 Girls"),$B$5&gt;20),MAX(2,Setup!$B$14),Setup!$B$14)))))</f>
        <v>1</v>
      </c>
      <c r="BM38" s="20" t="b">
        <f>IF(AL38="",FALSE,AND(AL38&lt;&gt;IF(AND($B$3="Stage 3",OR($B$15="Year 8 Boys",$B$15="Year 9 Boys",$B$15="Year 10-11 Boys"),$B$8="One Keeper"),$E$4,""),AL38&lt;&gt;$B38,AL38&lt;&gt;$C37,IFERROR(INDEX($E$18:$E$30,MATCH(AL38,$B$18:$B$30,0)),"No")="Yes",COUNTIF($C$32:$C37,AL38)&lt;$B$6,COUNTIF($C$32:$C37,AL38)&lt;IF($B$3="Stage 1",MIN($B$6,MAX(1,INT($B$5/$B$11))),IF(AND($B$3="Stage 3",$B$5=20,$B$11&gt;11),1,IF(AND($B$3="Stage 3",OR($B$15="Year 10-11-12 Girls"),$B$5&gt;20),MAX(2,Setup!$B$14),Setup!$B$14)))))</f>
        <v>1</v>
      </c>
      <c r="BN38" s="20" t="b">
        <f>IF(AM38="",FALSE,AND(AM38&lt;&gt;IF(AND($B$3="Stage 3",OR($B$15="Year 8 Boys",$B$15="Year 9 Boys",$B$15="Year 10-11 Boys"),$B$8="One Keeper"),$E$4,""),AM38&lt;&gt;$B38,AM38&lt;&gt;$C37,IFERROR(INDEX($E$18:$E$30,MATCH(AM38,$B$18:$B$30,0)),"No")="Yes",COUNTIF($C$32:$C37,AM38)&lt;$B$6,COUNTIF($C$32:$C37,AM38)&lt;IF($B$3="Stage 1",MIN($B$6,MAX(1,INT($B$5/$B$11))),IF(AND($B$3="Stage 3",$B$5=20,$B$11&gt;11),1,IF(AND($B$3="Stage 3",OR($B$15="Year 10-11-12 Girls"),$B$5&gt;20),MAX(2,Setup!$B$14),Setup!$B$14)))))</f>
        <v>1</v>
      </c>
      <c r="BO38" s="20" t="b">
        <f>IF(AN38="",FALSE,AND(AN38&lt;&gt;IF(AND($B$3="Stage 3",OR($B$15="Year 8 Boys",$B$15="Year 9 Boys",$B$15="Year 10-11 Boys"),$B$8="One Keeper"),$E$4,""),AN38&lt;&gt;$B38,AN38&lt;&gt;$C37,IFERROR(INDEX($E$18:$E$30,MATCH(AN38,$B$18:$B$30,0)),"No")="Yes",COUNTIF($C$32:$C37,AN38)&lt;$B$6,COUNTIF($C$32:$C37,AN38)&lt;IF($B$3="Stage 1",MIN($B$6,MAX(1,INT($B$5/$B$11))),IF(AND($B$3="Stage 3",$B$5=20,$B$11&gt;11),1,IF(AND($B$3="Stage 3",OR($B$15="Year 10-11-12 Girls"),$B$5&gt;20),MAX(2,Setup!$B$14),Setup!$B$14)))))</f>
        <v>1</v>
      </c>
      <c r="BP38" s="20" t="b">
        <f>IF(AO38="",FALSE,AND(AO38&lt;&gt;IF(AND($B$3="Stage 3",OR($B$15="Year 8 Boys",$B$15="Year 9 Boys",$B$15="Year 10-11 Boys"),$B$8="One Keeper"),$E$4,""),AO38&lt;&gt;$B38,AO38&lt;&gt;$C37,IFERROR(INDEX($E$18:$E$30,MATCH(AO38,$B$18:$B$30,0)),"No")="Yes",COUNTIF($C$32:$C37,AO38)&lt;$B$6,COUNTIF($C$32:$C37,AO38)&lt;IF($B$3="Stage 1",MIN($B$6,MAX(1,INT($B$5/$B$11))),IF(AND($B$3="Stage 3",$B$5=20,$B$11&gt;11),1,IF(AND($B$3="Stage 3",OR($B$15="Year 10-11-12 Girls"),$B$5&gt;20),MAX(2,Setup!$B$14),Setup!$B$14)))))</f>
        <v>0</v>
      </c>
      <c r="BQ38" s="20" t="b">
        <f>IF(AP38="",FALSE,AND(AP38&lt;&gt;IF(AND($B$3="Stage 3",OR($B$15="Year 8 Boys",$B$15="Year 9 Boys",$B$15="Year 10-11 Boys"),$B$8="One Keeper"),$E$4,""),AP38&lt;&gt;$B38,AP38&lt;&gt;$C37,IFERROR(INDEX($E$18:$E$30,MATCH(AP38,$B$18:$B$30,0)),"No")="Yes",COUNTIF($C$32:$C37,AP38)&lt;$B$6,COUNTIF($C$32:$C37,AP38)&lt;IF($B$3="Stage 1",MIN($B$6,MAX(1,INT($B$5/$B$11))),IF(AND($B$3="Stage 3",$B$5=20,$B$11&gt;11),1,IF(AND($B$3="Stage 3",OR($B$15="Year 10-11-12 Girls"),$B$5&gt;20),MAX(2,Setup!$B$14),Setup!$B$14)))))</f>
        <v>0</v>
      </c>
      <c r="BR38" s="20" t="b">
        <f>IF(AQ38="",FALSE,AND(AQ38&lt;&gt;IF(AND($B$3="Stage 3",OR($B$15="Year 8 Boys",$B$15="Year 9 Boys",$B$15="Year 10-11 Boys"),$B$8="One Keeper"),$E$4,""),AQ38&lt;&gt;$B38,AQ38&lt;&gt;$C37,IFERROR(INDEX($E$18:$E$30,MATCH(AQ38,$B$18:$B$30,0)),"No")="Yes",COUNTIF($C$32:$C37,AQ38)&lt;$B$6,COUNTIF($C$32:$C37,AQ38)&lt;IF($B$3="Stage 1",MIN($B$6,MAX(1,INT($B$5/$B$11))),IF(AND($B$3="Stage 3",$B$5=20,$B$11&gt;11),1,IF(AND($B$3="Stage 3",OR($B$15="Year 10-11-12 Girls"),$B$5&gt;20),MAX(2,Setup!$B$14),Setup!$B$14)))))</f>
        <v>0</v>
      </c>
      <c r="BS38" s="20" t="b">
        <f>IF(AR38="",FALSE,AND(AR38&lt;&gt;IF(AND($B$3="Stage 3",OR($B$15="Year 8 Boys",$B$15="Year 9 Boys",$B$15="Year 10-11 Boys"),$B$8="One Keeper"),$E$4,""),AR38&lt;&gt;$B38,AR38&lt;&gt;$C37,IFERROR(INDEX($E$18:$E$30,MATCH(AR38,$B$18:$B$30,0)),"No")="Yes",COUNTIF($C$32:$C37,AR38)&lt;$B$6,COUNTIF($C$32:$C37,AR38)&lt;IF($B$3="Stage 1",MIN($B$6,MAX(1,INT($B$5/$B$11))),IF(AND($B$3="Stage 3",$B$5=20,$B$11&gt;11),1,IF(AND($B$3="Stage 3",OR($B$15="Year 10-11-12 Girls"),$B$5&gt;20),MAX(2,Setup!$B$14),Setup!$B$14)))))</f>
        <v>1</v>
      </c>
      <c r="BT38" s="20" t="b">
        <f>IF(AS38="",FALSE,AND(AS38&lt;&gt;IF(AND($B$3="Stage 3",OR($B$15="Year 8 Boys",$B$15="Year 9 Boys",$B$15="Year 10-11 Boys"),$B$8="One Keeper"),$E$4,""),AS38&lt;&gt;$B38,AS38&lt;&gt;$C37,IFERROR(INDEX($E$18:$E$30,MATCH(AS38,$B$18:$B$30,0)),"No")="Yes",COUNTIF($C$32:$C37,AS38)&lt;$B$6,COUNTIF($C$32:$C37,AS38)&lt;IF($B$3="Stage 1",MIN($B$6,MAX(1,INT($B$5/$B$11))),IF(AND($B$3="Stage 3",$B$5=20,$B$11&gt;11),1,IF(AND($B$3="Stage 3",OR($B$15="Year 10-11-12 Girls"),$B$5&gt;20),MAX(2,Setup!$B$14),Setup!$B$14)))))</f>
        <v>1</v>
      </c>
      <c r="BU38" s="20" t="b">
        <f>IF(AT38="",FALSE,AND(AT38&lt;&gt;IF(AND($B$3="Stage 3",OR($B$15="Year 8 Boys",$B$15="Year 9 Boys",$B$15="Year 10-11 Boys"),$B$8="One Keeper"),$E$4,""),AT38&lt;&gt;$B38,AT38&lt;&gt;$C37,IFERROR(INDEX($E$18:$E$30,MATCH(AT38,$B$18:$B$30,0)),"No")="Yes",COUNTIF($C$32:$C37,AT38)&lt;$B$6,COUNTIF($C$32:$C37,AT38)&lt;IF($B$3="Stage 1",MIN($B$6,MAX(1,INT($B$5/$B$11))),IF(AND($B$3="Stage 3",$B$5=20,$B$11&gt;11),1,IF(AND($B$3="Stage 3",OR($B$15="Year 10-11-12 Girls"),$B$5&gt;20),MAX(2,Setup!$B$14),Setup!$B$14)))))</f>
        <v>1</v>
      </c>
      <c r="BV38" s="20" t="b">
        <f>IF(AU38="",FALSE,AND(AU38&lt;&gt;IF(AND($B$3="Stage 3",OR($B$15="Year 8 Boys",$B$15="Year 9 Boys",$B$15="Year 10-11 Boys"),$B$8="One Keeper"),$E$4,""),AU38&lt;&gt;$B38,AU38&lt;&gt;$C37,IFERROR(INDEX($E$18:$E$30,MATCH(AU38,$B$18:$B$30,0)),"No")="Yes",COUNTIF($C$32:$C37,AU38)&lt;$B$6,COUNTIF($C$32:$C37,AU38)&lt;IF($B$3="Stage 1",MIN($B$6,MAX(1,INT($B$5/$B$11))),IF(AND($B$3="Stage 3",$B$5=20,$B$11&gt;11),1,IF(AND($B$3="Stage 3",OR($B$15="Year 10-11-12 Girls"),$B$5&gt;20),MAX(2,Setup!$B$14),Setup!$B$14)))))</f>
        <v>1</v>
      </c>
      <c r="BW38" s="20"/>
      <c r="BX38" s="20"/>
      <c r="BY38" s="20"/>
      <c r="BZ38" s="20"/>
      <c r="CA38" s="20"/>
      <c r="CB38" s="20"/>
      <c r="CC38" s="20"/>
      <c r="CD38" s="20"/>
      <c r="CE38" s="20"/>
      <c r="CF38" s="20"/>
      <c r="CG38" s="20"/>
      <c r="CH38" s="20"/>
      <c r="CI38" s="20"/>
      <c r="CJ38" s="20"/>
      <c r="CK38" s="20"/>
    </row>
    <row r="39" spans="1:89" ht="26.4" customHeight="1">
      <c r="A39" s="18">
        <v>8</v>
      </c>
      <c r="B39" s="18" t="str">
        <f t="shared" si="5"/>
        <v>Player 1</v>
      </c>
      <c r="C39" s="18" t="str">
        <f t="shared" si="6"/>
        <v>Player 5</v>
      </c>
      <c r="D39" s="18">
        <f t="shared" si="7"/>
        <v>3</v>
      </c>
      <c r="E39" s="18">
        <f>IF($C39="","",COUNTIF($C$32:C39,$C39))</f>
        <v>2</v>
      </c>
      <c r="F39" s="18" t="str">
        <f t="shared" si="8"/>
        <v/>
      </c>
      <c r="H39" s="18" t="str">
        <f t="shared" si="9"/>
        <v/>
      </c>
      <c r="I39" s="18" t="str">
        <f t="shared" si="10"/>
        <v/>
      </c>
      <c r="J39" s="18" t="str">
        <f t="shared" si="11"/>
        <v/>
      </c>
      <c r="K39" s="18" t="str">
        <f>IF($H39="","",IF($B$3="Stage 1","",IF($B$10="Finals","Finals",IF($B$3="Stage 2",IF($B$5=20,IF($B$11=11,IF($I39&gt;=1,"OK","Needs 1+"),IF($I39&gt;=2,"OK","Needs 2")),IF($B$5=30,IF($I39&gt;=2,"OK","Needs 2"),IF($I39&gt;=Setup!$B$14,"OK","Below target"))),IF($B$3="Stage 3",IF(OR($B$15="Year 8 Boys",$B$15="Year 9 Boys",$B$15="Year 10-11 Boys"),"Team rule",IF($B$5=20,IF($B$11&gt;10,IF($I39&gt;=1,"OK","Needs 1+"),IF($I39&gt;=2,"OK","Needs 2")),IF($I39&gt;=MAX(2,Setup!$B$14),"OK","Needs "&amp;MAX(2,Setup!$B$14)))),"")))))</f>
        <v/>
      </c>
      <c r="L39" s="18" t="str">
        <f t="shared" si="12"/>
        <v/>
      </c>
      <c r="M39" s="18" t="str">
        <f t="shared" si="13"/>
        <v/>
      </c>
      <c r="N39" s="18" t="str">
        <f t="shared" si="14"/>
        <v/>
      </c>
      <c r="T39" s="20">
        <f t="shared" si="15"/>
        <v>1</v>
      </c>
      <c r="U39" s="20" t="b">
        <f>IF(OR($B$3="Stage 2",AND($B$3="Stage 3",OR($B$15="Year 10-11-12 Girls"))),(IF(AND($P$18&lt;&gt;"",$P$18&lt;&gt;$E$4,COUNTIF($C$32:$C38,$P$18)&gt;=2),1,0)+IF(AND($P$19&lt;&gt;"",$P$19&lt;&gt;$E$4,COUNTIF($C$32:$C38,$P$19)&gt;=2),1,0)+IF(AND($P$20&lt;&gt;"",$P$20&lt;&gt;$E$4,COUNTIF($C$32:$C38,$P$20)&gt;=2),1,0)+IF(AND($P$21&lt;&gt;"",$P$21&lt;&gt;$E$4,COUNTIF($C$32:$C38,$P$21)&gt;=2),1,0)+IF(AND($P$22&lt;&gt;"",$P$22&lt;&gt;$E$4,COUNTIF($C$32:$C38,$P$22)&gt;=2),1,0)+IF(AND($P$23&lt;&gt;"",$P$23&lt;&gt;$E$4,COUNTIF($C$32:$C38,$P$23)&gt;=2),1,0)+IF(AND($P$24&lt;&gt;"",$P$24&lt;&gt;$E$4,COUNTIF($C$32:$C38,$P$24)&gt;=2),1,0)+IF(AND($P$25&lt;&gt;"",$P$25&lt;&gt;$E$4,COUNTIF($C$32:$C38,$P$25)&gt;=2),1,0)+IF(AND($P$26&lt;&gt;"",$P$26&lt;&gt;$E$4,COUNTIF($C$32:$C38,$P$26)&gt;=2),1,0)+IF(AND($P$27&lt;&gt;"",$P$27&lt;&gt;$E$4,COUNTIF($C$32:$C38,$P$27)&gt;=2),1,0)+IF(AND($P$28&lt;&gt;"",$P$28&lt;&gt;$E$4,COUNTIF($C$32:$C38,$P$28)&gt;=2),1,0)+IF(AND($P$29&lt;&gt;"",$P$29&lt;&gt;$E$4,COUNTIF($C$32:$C38,$P$29)&gt;=2),1,0)+IF(AND($P$30&lt;&gt;"",$P$30&lt;&gt;$E$4,COUNTIF($C$32:$C38,$P$30)&gt;=2),1,0))&gt;=MAX(0,$B$11-1),IF(AND($B$3="Stage 3",OR($B$15="Year 8 Boys",$B$15="Year 9 Boys",$B$15="Year 10-11 Boys")),(IF(AND($P$18&lt;&gt;"",COUNTIF($C$32:$C38,$P$18)&gt;=2),1,0)+IF(AND($P$19&lt;&gt;"",COUNTIF($C$32:$C38,$P$19)&gt;=2),1,0)+IF(AND($P$20&lt;&gt;"",COUNTIF($C$32:$C38,$P$20)&gt;=2),1,0)+IF(AND($P$21&lt;&gt;"",COUNTIF($C$32:$C38,$P$21)&gt;=2),1,0)+IF(AND($P$22&lt;&gt;"",COUNTIF($C$32:$C38,$P$22)&gt;=2),1,0)+IF(AND($P$23&lt;&gt;"",COUNTIF($C$32:$C38,$P$23)&gt;=2),1,0)+IF(AND($P$24&lt;&gt;"",COUNTIF($C$32:$C38,$P$24)&gt;=2),1,0)+IF(AND($P$25&lt;&gt;"",COUNTIF($C$32:$C38,$P$25)&gt;=2),1,0)+IF(AND($P$26&lt;&gt;"",COUNTIF($C$32:$C38,$P$26)&gt;=2),1,0)+IF(AND($P$27&lt;&gt;"",COUNTIF($C$32:$C38,$P$27)&gt;=2),1,0)+IF(AND($P$28&lt;&gt;"",COUNTIF($C$32:$C38,$P$28)&gt;=2),1,0)+IF(AND($P$29&lt;&gt;"",COUNTIF($C$32:$C38,$P$29)&gt;=2),1,0)+IF(AND($P$30&lt;&gt;"",COUNTIF($C$32:$C38,$P$30)&gt;=2),1,0))&gt;=7,TRUE))</f>
        <v>1</v>
      </c>
      <c r="V39" s="20">
        <f t="shared" si="16"/>
        <v>1</v>
      </c>
      <c r="W39" s="20">
        <f t="shared" si="16"/>
        <v>2</v>
      </c>
      <c r="X39" s="20">
        <f t="shared" si="16"/>
        <v>3</v>
      </c>
      <c r="Y39" s="20">
        <f t="shared" si="16"/>
        <v>4</v>
      </c>
      <c r="Z39" s="20">
        <f t="shared" si="16"/>
        <v>5</v>
      </c>
      <c r="AA39" s="20">
        <f t="shared" si="16"/>
        <v>6</v>
      </c>
      <c r="AB39" s="20">
        <f t="shared" si="16"/>
        <v>7</v>
      </c>
      <c r="AC39" s="20">
        <f t="shared" si="16"/>
        <v>1</v>
      </c>
      <c r="AD39" s="20">
        <f t="shared" si="16"/>
        <v>2</v>
      </c>
      <c r="AE39" s="20">
        <f t="shared" si="16"/>
        <v>3</v>
      </c>
      <c r="AF39" s="20">
        <f t="shared" si="16"/>
        <v>4</v>
      </c>
      <c r="AG39" s="20">
        <f t="shared" si="16"/>
        <v>5</v>
      </c>
      <c r="AH39" s="20">
        <f t="shared" si="16"/>
        <v>6</v>
      </c>
      <c r="AI39" s="20" t="str">
        <f t="shared" si="17"/>
        <v>Player 3</v>
      </c>
      <c r="AJ39" s="20" t="str">
        <f t="shared" si="18"/>
        <v>Player 4</v>
      </c>
      <c r="AK39" s="20" t="str">
        <f t="shared" si="19"/>
        <v>Player 5</v>
      </c>
      <c r="AL39" s="20" t="str">
        <f t="shared" si="20"/>
        <v>Player 6</v>
      </c>
      <c r="AM39" s="20" t="str">
        <f t="shared" si="21"/>
        <v>Player 7</v>
      </c>
      <c r="AN39" s="20" t="str">
        <f t="shared" si="22"/>
        <v>Player 1</v>
      </c>
      <c r="AO39" s="20" t="str">
        <f t="shared" si="23"/>
        <v>Player 2</v>
      </c>
      <c r="AP39" s="20" t="str">
        <f t="shared" si="24"/>
        <v>Player 3</v>
      </c>
      <c r="AQ39" s="20" t="str">
        <f t="shared" si="25"/>
        <v>Player 4</v>
      </c>
      <c r="AR39" s="20" t="str">
        <f t="shared" si="26"/>
        <v>Player 5</v>
      </c>
      <c r="AS39" s="20" t="str">
        <f t="shared" si="27"/>
        <v>Player 6</v>
      </c>
      <c r="AT39" s="20" t="str">
        <f t="shared" si="28"/>
        <v>Player 7</v>
      </c>
      <c r="AU39" s="20" t="str">
        <f t="shared" si="29"/>
        <v>Player 1</v>
      </c>
      <c r="AV39" s="20" t="b">
        <f>IF(AI39="",FALSE,AND(AI39&lt;&gt;$B39,AI39&lt;&gt;$C38,IFERROR(INDEX($E$18:$E$30,MATCH(AI39,$B$18:$B$30,0)),"No")="Yes",IF(AND(OR($B$3="Stage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Girls"))),$B$5&gt;20),MIN(3,MAX(2,Setup!$B$14)),2))*2),AI39=$E$5,IF(AND(OR($B$3="Stage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Girls"))),$B$5&gt;20),MIN(3,MAX(2,Setup!$B$14)),2))*2-1))),AI39=$E$4,TRUE)),COUNTIF($C$32:$C38,AI39)&lt;$B$6,IF($BI39,COUNTIF($C$32:$C38,AI39)&lt;IF($B$3="Stage 1",MIN($B$6,MAX(1,INT($B$5/$B$11))),IF(AND($B$3="Stage 3",$B$5=20,$B$11&gt;11),1,IF(AND($B$3="Stage 3",OR($B$15="Year 10-11-12 Girls"),$B$5&gt;20),MAX(2,Setup!$B$14),Setup!$B$14))),IF(AND($B$3&lt;&gt;"Stage 2",$B$3&lt;&gt;"Stage 3"),TRUE,IF($U39,TRUE,COUNTIF($C$32:$C38,AI39)&lt;IF(AND($B$3="Stage 2",$B$5=20,AI39=$E$5,$A39&lt;=IF($B$8="One Keeper",$B$5,$B$8)),2,IF(AND(OR($B$3="Stage 2",AND($B$3="Stage 3",OR($B$15="Year 10-11-12 Girls"))),AI39=$E$5,$A39&lt;=IF($B$8="One Keeper",$B$5,$B$8)),3,$B$9)))))))</f>
        <v>0</v>
      </c>
      <c r="AW39" s="20" t="b">
        <f>IF(AJ39="",FALSE,AND(AJ39&lt;&gt;$B39,AJ39&lt;&gt;$C38,IFERROR(INDEX($E$18:$E$30,MATCH(AJ39,$B$18:$B$30,0)),"No")="Yes",IF(AND(OR($B$3="Stage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Girls"))),$B$5&gt;20),MIN(3,MAX(2,Setup!$B$14)),2))*2),AJ39=$E$5,IF(AND(OR($B$3="Stage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Girls"))),$B$5&gt;20),MIN(3,MAX(2,Setup!$B$14)),2))*2-1))),AJ39=$E$4,TRUE)),COUNTIF($C$32:$C38,AJ39)&lt;$B$6,IF($BI39,COUNTIF($C$32:$C38,AJ39)&lt;IF($B$3="Stage 1",MIN($B$6,MAX(1,INT($B$5/$B$11))),IF(AND($B$3="Stage 3",$B$5=20,$B$11&gt;11),1,IF(AND($B$3="Stage 3",OR($B$15="Year 10-11-12 Girls"),$B$5&gt;20),MAX(2,Setup!$B$14),Setup!$B$14))),IF(AND($B$3&lt;&gt;"Stage 2",$B$3&lt;&gt;"Stage 3"),TRUE,IF($U39,TRUE,COUNTIF($C$32:$C38,AJ39)&lt;IF(AND($B$3="Stage 2",$B$5=20,AJ39=$E$5,$A39&lt;=IF($B$8="One Keeper",$B$5,$B$8)),2,IF(AND(OR($B$3="Stage 2",AND($B$3="Stage 3",OR($B$15="Year 10-11-12 Girls"))),AJ39=$E$5,$A39&lt;=IF($B$8="One Keeper",$B$5,$B$8)),3,$B$9)))))))</f>
        <v>0</v>
      </c>
      <c r="AX39" s="20" t="b">
        <f>IF(AK39="",FALSE,AND(AK39&lt;&gt;$B39,AK39&lt;&gt;$C38,IFERROR(INDEX($E$18:$E$30,MATCH(AK39,$B$18:$B$30,0)),"No")="Yes",IF(AND(OR($B$3="Stage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Girls"))),$B$5&gt;20),MIN(3,MAX(2,Setup!$B$14)),2))*2),AK39=$E$5,IF(AND(OR($B$3="Stage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Girls"))),$B$5&gt;20),MIN(3,MAX(2,Setup!$B$14)),2))*2-1))),AK39=$E$4,TRUE)),COUNTIF($C$32:$C38,AK39)&lt;$B$6,IF($BI39,COUNTIF($C$32:$C38,AK39)&lt;IF($B$3="Stage 1",MIN($B$6,MAX(1,INT($B$5/$B$11))),IF(AND($B$3="Stage 3",$B$5=20,$B$11&gt;11),1,IF(AND($B$3="Stage 3",OR($B$15="Year 10-11-12 Girls"),$B$5&gt;20),MAX(2,Setup!$B$14),Setup!$B$14))),IF(AND($B$3&lt;&gt;"Stage 2",$B$3&lt;&gt;"Stage 3"),TRUE,IF($U39,TRUE,COUNTIF($C$32:$C38,AK39)&lt;IF(AND($B$3="Stage 2",$B$5=20,AK39=$E$5,$A39&lt;=IF($B$8="One Keeper",$B$5,$B$8)),2,IF(AND(OR($B$3="Stage 2",AND($B$3="Stage 3",OR($B$15="Year 10-11-12 Girls"))),AK39=$E$5,$A39&lt;=IF($B$8="One Keeper",$B$5,$B$8)),3,$B$9)))))))</f>
        <v>1</v>
      </c>
      <c r="AY39" s="20" t="b">
        <f>IF(AL39="",FALSE,AND(AL39&lt;&gt;$B39,AL39&lt;&gt;$C38,IFERROR(INDEX($E$18:$E$30,MATCH(AL39,$B$18:$B$30,0)),"No")="Yes",IF(AND(OR($B$3="Stage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Girls"))),$B$5&gt;20),MIN(3,MAX(2,Setup!$B$14)),2))*2),AL39=$E$5,IF(AND(OR($B$3="Stage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Girls"))),$B$5&gt;20),MIN(3,MAX(2,Setup!$B$14)),2))*2-1))),AL39=$E$4,TRUE)),COUNTIF($C$32:$C38,AL39)&lt;$B$6,IF($BI39,COUNTIF($C$32:$C38,AL39)&lt;IF($B$3="Stage 1",MIN($B$6,MAX(1,INT($B$5/$B$11))),IF(AND($B$3="Stage 3",$B$5=20,$B$11&gt;11),1,IF(AND($B$3="Stage 3",OR($B$15="Year 10-11-12 Girls"),$B$5&gt;20),MAX(2,Setup!$B$14),Setup!$B$14))),IF(AND($B$3&lt;&gt;"Stage 2",$B$3&lt;&gt;"Stage 3"),TRUE,IF($U39,TRUE,COUNTIF($C$32:$C38,AL39)&lt;IF(AND($B$3="Stage 2",$B$5=20,AL39=$E$5,$A39&lt;=IF($B$8="One Keeper",$B$5,$B$8)),2,IF(AND(OR($B$3="Stage 2",AND($B$3="Stage 3",OR($B$15="Year 10-11-12 Girls"))),AL39=$E$5,$A39&lt;=IF($B$8="One Keeper",$B$5,$B$8)),3,$B$9)))))))</f>
        <v>1</v>
      </c>
      <c r="AZ39" s="20" t="b">
        <f>IF(AM39="",FALSE,AND(AM39&lt;&gt;$B39,AM39&lt;&gt;$C38,IFERROR(INDEX($E$18:$E$30,MATCH(AM39,$B$18:$B$30,0)),"No")="Yes",IF(AND(OR($B$3="Stage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Girls"))),$B$5&gt;20),MIN(3,MAX(2,Setup!$B$14)),2))*2),AM39=$E$5,IF(AND(OR($B$3="Stage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Girls"))),$B$5&gt;20),MIN(3,MAX(2,Setup!$B$14)),2))*2-1))),AM39=$E$4,TRUE)),COUNTIF($C$32:$C38,AM39)&lt;$B$6,IF($BI39,COUNTIF($C$32:$C38,AM39)&lt;IF($B$3="Stage 1",MIN($B$6,MAX(1,INT($B$5/$B$11))),IF(AND($B$3="Stage 3",$B$5=20,$B$11&gt;11),1,IF(AND($B$3="Stage 3",OR($B$15="Year 10-11-12 Girls"),$B$5&gt;20),MAX(2,Setup!$B$14),Setup!$B$14))),IF(AND($B$3&lt;&gt;"Stage 2",$B$3&lt;&gt;"Stage 3"),TRUE,IF($U39,TRUE,COUNTIF($C$32:$C38,AM39)&lt;IF(AND($B$3="Stage 2",$B$5=20,AM39=$E$5,$A39&lt;=IF($B$8="One Keeper",$B$5,$B$8)),2,IF(AND(OR($B$3="Stage 2",AND($B$3="Stage 3",OR($B$15="Year 10-11-12 Girls"))),AM39=$E$5,$A39&lt;=IF($B$8="One Keeper",$B$5,$B$8)),3,$B$9)))))))</f>
        <v>1</v>
      </c>
      <c r="BA39" s="20" t="b">
        <f>IF(AN39="",FALSE,AND(AN39&lt;&gt;$B39,AN39&lt;&gt;$C38,IFERROR(INDEX($E$18:$E$30,MATCH(AN39,$B$18:$B$30,0)),"No")="Yes",IF(AND(OR($B$3="Stage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Girls"))),$B$5&gt;20),MIN(3,MAX(2,Setup!$B$14)),2))*2),AN39=$E$5,IF(AND(OR($B$3="Stage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Girls"))),$B$5&gt;20),MIN(3,MAX(2,Setup!$B$14)),2))*2-1))),AN39=$E$4,TRUE)),COUNTIF($C$32:$C38,AN39)&lt;$B$6,IF($BI39,COUNTIF($C$32:$C38,AN39)&lt;IF($B$3="Stage 1",MIN($B$6,MAX(1,INT($B$5/$B$11))),IF(AND($B$3="Stage 3",$B$5=20,$B$11&gt;11),1,IF(AND($B$3="Stage 3",OR($B$15="Year 10-11-12 Girls"),$B$5&gt;20),MAX(2,Setup!$B$14),Setup!$B$14))),IF(AND($B$3&lt;&gt;"Stage 2",$B$3&lt;&gt;"Stage 3"),TRUE,IF($U39,TRUE,COUNTIF($C$32:$C38,AN39)&lt;IF(AND($B$3="Stage 2",$B$5=20,AN39=$E$5,$A39&lt;=IF($B$8="One Keeper",$B$5,$B$8)),2,IF(AND(OR($B$3="Stage 2",AND($B$3="Stage 3",OR($B$15="Year 10-11-12 Girls"))),AN39=$E$5,$A39&lt;=IF($B$8="One Keeper",$B$5,$B$8)),3,$B$9)))))))</f>
        <v>0</v>
      </c>
      <c r="BB39" s="20" t="b">
        <f>IF(AO39="",FALSE,AND(AO39&lt;&gt;$B39,AO39&lt;&gt;$C38,IFERROR(INDEX($E$18:$E$30,MATCH(AO39,$B$18:$B$30,0)),"No")="Yes",IF(AND(OR($B$3="Stage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Girls"))),$B$5&gt;20),MIN(3,MAX(2,Setup!$B$14)),2))*2),AO39=$E$5,IF(AND(OR($B$3="Stage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Girls"))),$B$5&gt;20),MIN(3,MAX(2,Setup!$B$14)),2))*2-1))),AO39=$E$4,TRUE)),COUNTIF($C$32:$C38,AO39)&lt;$B$6,IF($BI39,COUNTIF($C$32:$C38,AO39)&lt;IF($B$3="Stage 1",MIN($B$6,MAX(1,INT($B$5/$B$11))),IF(AND($B$3="Stage 3",$B$5=20,$B$11&gt;11),1,IF(AND($B$3="Stage 3",OR($B$15="Year 10-11-12 Girls"),$B$5&gt;20),MAX(2,Setup!$B$14),Setup!$B$14))),IF(AND($B$3&lt;&gt;"Stage 2",$B$3&lt;&gt;"Stage 3"),TRUE,IF($U39,TRUE,COUNTIF($C$32:$C38,AO39)&lt;IF(AND($B$3="Stage 2",$B$5=20,AO39=$E$5,$A39&lt;=IF($B$8="One Keeper",$B$5,$B$8)),2,IF(AND(OR($B$3="Stage 2",AND($B$3="Stage 3",OR($B$15="Year 10-11-12 Girls"))),AO39=$E$5,$A39&lt;=IF($B$8="One Keeper",$B$5,$B$8)),3,$B$9)))))))</f>
        <v>0</v>
      </c>
      <c r="BC39" s="20" t="b">
        <f>IF(AP39="",FALSE,AND(AP39&lt;&gt;$B39,AP39&lt;&gt;$C38,IFERROR(INDEX($E$18:$E$30,MATCH(AP39,$B$18:$B$30,0)),"No")="Yes",IF(AND(OR($B$3="Stage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Girls"))),$B$5&gt;20),MIN(3,MAX(2,Setup!$B$14)),2))*2),AP39=$E$5,IF(AND(OR($B$3="Stage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Girls"))),$B$5&gt;20),MIN(3,MAX(2,Setup!$B$14)),2))*2-1))),AP39=$E$4,TRUE)),COUNTIF($C$32:$C38,AP39)&lt;$B$6,IF($BI39,COUNTIF($C$32:$C38,AP39)&lt;IF($B$3="Stage 1",MIN($B$6,MAX(1,INT($B$5/$B$11))),IF(AND($B$3="Stage 3",$B$5=20,$B$11&gt;11),1,IF(AND($B$3="Stage 3",OR($B$15="Year 10-11-12 Girls"),$B$5&gt;20),MAX(2,Setup!$B$14),Setup!$B$14))),IF(AND($B$3&lt;&gt;"Stage 2",$B$3&lt;&gt;"Stage 3"),TRUE,IF($U39,TRUE,COUNTIF($C$32:$C38,AP39)&lt;IF(AND($B$3="Stage 2",$B$5=20,AP39=$E$5,$A39&lt;=IF($B$8="One Keeper",$B$5,$B$8)),2,IF(AND(OR($B$3="Stage 2",AND($B$3="Stage 3",OR($B$15="Year 10-11-12 Girls"))),AP39=$E$5,$A39&lt;=IF($B$8="One Keeper",$B$5,$B$8)),3,$B$9)))))))</f>
        <v>0</v>
      </c>
      <c r="BD39" s="20" t="b">
        <f>IF(AQ39="",FALSE,AND(AQ39&lt;&gt;$B39,AQ39&lt;&gt;$C38,IFERROR(INDEX($E$18:$E$30,MATCH(AQ39,$B$18:$B$30,0)),"No")="Yes",IF(AND(OR($B$3="Stage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Girls"))),$B$5&gt;20),MIN(3,MAX(2,Setup!$B$14)),2))*2),AQ39=$E$5,IF(AND(OR($B$3="Stage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Girls"))),$B$5&gt;20),MIN(3,MAX(2,Setup!$B$14)),2))*2-1))),AQ39=$E$4,TRUE)),COUNTIF($C$32:$C38,AQ39)&lt;$B$6,IF($BI39,COUNTIF($C$32:$C38,AQ39)&lt;IF($B$3="Stage 1",MIN($B$6,MAX(1,INT($B$5/$B$11))),IF(AND($B$3="Stage 3",$B$5=20,$B$11&gt;11),1,IF(AND($B$3="Stage 3",OR($B$15="Year 10-11-12 Girls"),$B$5&gt;20),MAX(2,Setup!$B$14),Setup!$B$14))),IF(AND($B$3&lt;&gt;"Stage 2",$B$3&lt;&gt;"Stage 3"),TRUE,IF($U39,TRUE,COUNTIF($C$32:$C38,AQ39)&lt;IF(AND($B$3="Stage 2",$B$5=20,AQ39=$E$5,$A39&lt;=IF($B$8="One Keeper",$B$5,$B$8)),2,IF(AND(OR($B$3="Stage 2",AND($B$3="Stage 3",OR($B$15="Year 10-11-12 Girls"))),AQ39=$E$5,$A39&lt;=IF($B$8="One Keeper",$B$5,$B$8)),3,$B$9)))))))</f>
        <v>0</v>
      </c>
      <c r="BE39" s="20" t="b">
        <f>IF(AR39="",FALSE,AND(AR39&lt;&gt;$B39,AR39&lt;&gt;$C38,IFERROR(INDEX($E$18:$E$30,MATCH(AR39,$B$18:$B$30,0)),"No")="Yes",IF(AND(OR($B$3="Stage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Girls"))),$B$5&gt;20),MIN(3,MAX(2,Setup!$B$14)),2))*2),AR39=$E$5,IF(AND(OR($B$3="Stage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Girls"))),$B$5&gt;20),MIN(3,MAX(2,Setup!$B$14)),2))*2-1))),AR39=$E$4,TRUE)),COUNTIF($C$32:$C38,AR39)&lt;$B$6,IF($BI39,COUNTIF($C$32:$C38,AR39)&lt;IF($B$3="Stage 1",MIN($B$6,MAX(1,INT($B$5/$B$11))),IF(AND($B$3="Stage 3",$B$5=20,$B$11&gt;11),1,IF(AND($B$3="Stage 3",OR($B$15="Year 10-11-12 Girls"),$B$5&gt;20),MAX(2,Setup!$B$14),Setup!$B$14))),IF(AND($B$3&lt;&gt;"Stage 2",$B$3&lt;&gt;"Stage 3"),TRUE,IF($U39,TRUE,COUNTIF($C$32:$C38,AR39)&lt;IF(AND($B$3="Stage 2",$B$5=20,AR39=$E$5,$A39&lt;=IF($B$8="One Keeper",$B$5,$B$8)),2,IF(AND(OR($B$3="Stage 2",AND($B$3="Stage 3",OR($B$15="Year 10-11-12 Girls"))),AR39=$E$5,$A39&lt;=IF($B$8="One Keeper",$B$5,$B$8)),3,$B$9)))))))</f>
        <v>1</v>
      </c>
      <c r="BF39" s="20" t="b">
        <f>IF(AS39="",FALSE,AND(AS39&lt;&gt;$B39,AS39&lt;&gt;$C38,IFERROR(INDEX($E$18:$E$30,MATCH(AS39,$B$18:$B$30,0)),"No")="Yes",IF(AND(OR($B$3="Stage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Girls"))),$B$5&gt;20),MIN(3,MAX(2,Setup!$B$14)),2))*2),AS39=$E$5,IF(AND(OR($B$3="Stage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Girls"))),$B$5&gt;20),MIN(3,MAX(2,Setup!$B$14)),2))*2-1))),AS39=$E$4,TRUE)),COUNTIF($C$32:$C38,AS39)&lt;$B$6,IF($BI39,COUNTIF($C$32:$C38,AS39)&lt;IF($B$3="Stage 1",MIN($B$6,MAX(1,INT($B$5/$B$11))),IF(AND($B$3="Stage 3",$B$5=20,$B$11&gt;11),1,IF(AND($B$3="Stage 3",OR($B$15="Year 10-11-12 Girls"),$B$5&gt;20),MAX(2,Setup!$B$14),Setup!$B$14))),IF(AND($B$3&lt;&gt;"Stage 2",$B$3&lt;&gt;"Stage 3"),TRUE,IF($U39,TRUE,COUNTIF($C$32:$C38,AS39)&lt;IF(AND($B$3="Stage 2",$B$5=20,AS39=$E$5,$A39&lt;=IF($B$8="One Keeper",$B$5,$B$8)),2,IF(AND(OR($B$3="Stage 2",AND($B$3="Stage 3",OR($B$15="Year 10-11-12 Girls"))),AS39=$E$5,$A39&lt;=IF($B$8="One Keeper",$B$5,$B$8)),3,$B$9)))))))</f>
        <v>1</v>
      </c>
      <c r="BG39" s="20" t="b">
        <f>IF(AT39="",FALSE,AND(AT39&lt;&gt;$B39,AT39&lt;&gt;$C38,IFERROR(INDEX($E$18:$E$30,MATCH(AT39,$B$18:$B$30,0)),"No")="Yes",IF(AND(OR($B$3="Stage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Girls"))),$B$5&gt;20),MIN(3,MAX(2,Setup!$B$14)),2))*2),AT39=$E$5,IF(AND(OR($B$3="Stage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Girls"))),$B$5&gt;20),MIN(3,MAX(2,Setup!$B$14)),2))*2-1))),AT39=$E$4,TRUE)),COUNTIF($C$32:$C38,AT39)&lt;$B$6,IF($BI39,COUNTIF($C$32:$C38,AT39)&lt;IF($B$3="Stage 1",MIN($B$6,MAX(1,INT($B$5/$B$11))),IF(AND($B$3="Stage 3",$B$5=20,$B$11&gt;11),1,IF(AND($B$3="Stage 3",OR($B$15="Year 10-11-12 Girls"),$B$5&gt;20),MAX(2,Setup!$B$14),Setup!$B$14))),IF(AND($B$3&lt;&gt;"Stage 2",$B$3&lt;&gt;"Stage 3"),TRUE,IF($U39,TRUE,COUNTIF($C$32:$C38,AT39)&lt;IF(AND($B$3="Stage 2",$B$5=20,AT39=$E$5,$A39&lt;=IF($B$8="One Keeper",$B$5,$B$8)),2,IF(AND(OR($B$3="Stage 2",AND($B$3="Stage 3",OR($B$15="Year 10-11-12 Girls"))),AT39=$E$5,$A39&lt;=IF($B$8="One Keeper",$B$5,$B$8)),3,$B$9)))))))</f>
        <v>1</v>
      </c>
      <c r="BH39" s="20" t="b">
        <f>IF(AU39="",FALSE,AND(AU39&lt;&gt;$B39,AU39&lt;&gt;$C38,IFERROR(INDEX($E$18:$E$30,MATCH(AU39,$B$18:$B$30,0)),"No")="Yes",IF(AND(OR($B$3="Stage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Girls"))),$B$5&gt;20),MIN(3,MAX(2,Setup!$B$14)),2))*2),AU39=$E$5,IF(AND(OR($B$3="Stage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Girls"))),$B$5&gt;20),MIN(3,MAX(2,Setup!$B$14)),2))*2-1))),AU39=$E$4,TRUE)),COUNTIF($C$32:$C38,AU39)&lt;$B$6,IF($BI39,COUNTIF($C$32:$C38,AU39)&lt;IF($B$3="Stage 1",MIN($B$6,MAX(1,INT($B$5/$B$11))),IF(AND($B$3="Stage 3",$B$5=20,$B$11&gt;11),1,IF(AND($B$3="Stage 3",OR($B$15="Year 10-11-12 Girls"),$B$5&gt;20),MAX(2,Setup!$B$14),Setup!$B$14))),IF(AND($B$3&lt;&gt;"Stage 2",$B$3&lt;&gt;"Stage 3"),TRUE,IF($U39,TRUE,COUNTIF($C$32:$C38,AU39)&lt;IF(AND($B$3="Stage 2",$B$5=20,AU39=$E$5,$A39&lt;=IF($B$8="One Keeper",$B$5,$B$8)),2,IF(AND(OR($B$3="Stage 2",AND($B$3="Stage 3",OR($B$15="Year 10-11-12 Girls"))),AU39=$E$5,$A39&lt;=IF($B$8="One Keeper",$B$5,$B$8)),3,$B$9)))))))</f>
        <v>0</v>
      </c>
      <c r="BI39"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Keeper",$E$4&lt;&gt;$E$5,$A39&lt;=IF($B$8="One Keeper",$B$5,$B$8),COUNTIF($C$32:$C38,$E$5)&lt;IF(AND($B$3="Stage 3",$B$5=20,$B$11&gt;11),1,IF(AND(OR($B$3="Stage 2",AND($B$3="Stage 3",OR($B$15="Year 10-11-12 Girls"))),$B$5&gt;20),MIN(3,MAX(2,Setup!$B$14)),2)),IFERROR(INDEX($E$18:$E$30,MATCH($E$5,$B$18:$B$30,0)),"No")="Yes",$C38&lt;&gt;$E$5,MOD($A39,2)=0,$A39&lt;=IF(AND($B$3="Stage 3",$B$5=20,$B$11&gt;11),1,IF(AND(OR($B$3="Stage 2",AND($B$3="Stage 3",OR($B$15="Year 10-11-12 Girls"))),$B$5&gt;20),MIN(3,MAX(2,Setup!$B$14)),2))*2),AND(OR($B$3="Stage 1",$B$3="Stage 2",AND($B$3="Stage 3",OR(OR($B$15="Year 10-11-12 Girls"),OR($B$15="Year 8 Boys",$B$15="Year 9 Boys",$B$15="Year 10-11 Boys")))),$B$8&lt;&gt;"One Keeper",$E$4&lt;&gt;$E$5,$A39&gt;IF($B$8="One Keeper",$B$5,$B$8),COUNTIF($C$32:$C38,$E$4)&lt;IF(AND($B$3="Stage 3",$B$5=20,$B$11&gt;11),1,IF(AND(OR($B$3="Stage 2",AND($B$3="Stage 3",OR($B$15="Year 10-11-12 Girls"))),$B$5&gt;20),MIN(3,MAX(2,Setup!$B$14)),2)),IFERROR(INDEX($E$18:$E$30,MATCH($E$4,$B$18:$B$30,0)),"No")="Yes",$C38&lt;&gt;$E$4,IF($B$7="Three-over spell",AND(MOD($A39-IF($B$8="One Keeper",$B$5,$B$8)-1,3)=0,($A39-IF($B$8="One Keeper",$B$5,$B$8))&lt;=1+(IF(AND($B$3="Stage 3",$B$5=20,$B$11&gt;11),1,IF(AND(OR($B$3="Stage 2",AND($B$3="Stage 3",OR($B$15="Year 10-11-12 Girls"))),$B$5&gt;20),MIN(3,MAX(2,Setup!$B$14)),2))-1)*3),AND(MOD($A39-IF($B$8="One Keeper",$B$5,$B$8),2)=1,($A39-IF($B$8="One Keeper",$B$5,$B$8))&lt;=IF(AND($B$3="Stage 3",$B$5=20,$B$11&gt;11),1,IF(AND(OR($B$3="Stage 2",AND($B$3="Stage 3",OR($B$15="Year 10-11-12 Girls"))),$B$5&gt;20),MIN(3,MAX(2,Setup!$B$14)),2))*2-1))))),OR($U39,AND($B$3="Stage 3",$B$5=20,$B$11&gt;11)),OR($BJ39,$BK39,$BL39,$BM39,$BN39,$BO39,$BP39,$BQ39,$BR39,$BS39,$BT39,$BU39,$BV39))</f>
        <v>1</v>
      </c>
      <c r="BJ39" s="20" t="b">
        <f>IF(AI39="",FALSE,AND(AI39&lt;&gt;IF(AND($B$3="Stage 3",OR($B$15="Year 8 Boys",$B$15="Year 9 Boys",$B$15="Year 10-11 Boys"),$B$8="One Keeper"),$E$4,""),AI39&lt;&gt;$B39,AI39&lt;&gt;$C38,IFERROR(INDEX($E$18:$E$30,MATCH(AI39,$B$18:$B$30,0)),"No")="Yes",COUNTIF($C$32:$C38,AI39)&lt;$B$6,COUNTIF($C$32:$C38,AI39)&lt;IF($B$3="Stage 1",MIN($B$6,MAX(1,INT($B$5/$B$11))),IF(AND($B$3="Stage 3",$B$5=20,$B$11&gt;11),1,IF(AND($B$3="Stage 3",OR($B$15="Year 10-11-12 Girls"),$B$5&gt;20),MAX(2,Setup!$B$14),Setup!$B$14)))))</f>
        <v>0</v>
      </c>
      <c r="BK39" s="20" t="b">
        <f>IF(AJ39="",FALSE,AND(AJ39&lt;&gt;IF(AND($B$3="Stage 3",OR($B$15="Year 8 Boys",$B$15="Year 9 Boys",$B$15="Year 10-11 Boys"),$B$8="One Keeper"),$E$4,""),AJ39&lt;&gt;$B39,AJ39&lt;&gt;$C38,IFERROR(INDEX($E$18:$E$30,MATCH(AJ39,$B$18:$B$30,0)),"No")="Yes",COUNTIF($C$32:$C38,AJ39)&lt;$B$6,COUNTIF($C$32:$C38,AJ39)&lt;IF($B$3="Stage 1",MIN($B$6,MAX(1,INT($B$5/$B$11))),IF(AND($B$3="Stage 3",$B$5=20,$B$11&gt;11),1,IF(AND($B$3="Stage 3",OR($B$15="Year 10-11-12 Girls"),$B$5&gt;20),MAX(2,Setup!$B$14),Setup!$B$14)))))</f>
        <v>0</v>
      </c>
      <c r="BL39" s="20" t="b">
        <f>IF(AK39="",FALSE,AND(AK39&lt;&gt;IF(AND($B$3="Stage 3",OR($B$15="Year 8 Boys",$B$15="Year 9 Boys",$B$15="Year 10-11 Boys"),$B$8="One Keeper"),$E$4,""),AK39&lt;&gt;$B39,AK39&lt;&gt;$C38,IFERROR(INDEX($E$18:$E$30,MATCH(AK39,$B$18:$B$30,0)),"No")="Yes",COUNTIF($C$32:$C38,AK39)&lt;$B$6,COUNTIF($C$32:$C38,AK39)&lt;IF($B$3="Stage 1",MIN($B$6,MAX(1,INT($B$5/$B$11))),IF(AND($B$3="Stage 3",$B$5=20,$B$11&gt;11),1,IF(AND($B$3="Stage 3",OR($B$15="Year 10-11-12 Girls"),$B$5&gt;20),MAX(2,Setup!$B$14),Setup!$B$14)))))</f>
        <v>1</v>
      </c>
      <c r="BM39" s="20" t="b">
        <f>IF(AL39="",FALSE,AND(AL39&lt;&gt;IF(AND($B$3="Stage 3",OR($B$15="Year 8 Boys",$B$15="Year 9 Boys",$B$15="Year 10-11 Boys"),$B$8="One Keeper"),$E$4,""),AL39&lt;&gt;$B39,AL39&lt;&gt;$C38,IFERROR(INDEX($E$18:$E$30,MATCH(AL39,$B$18:$B$30,0)),"No")="Yes",COUNTIF($C$32:$C38,AL39)&lt;$B$6,COUNTIF($C$32:$C38,AL39)&lt;IF($B$3="Stage 1",MIN($B$6,MAX(1,INT($B$5/$B$11))),IF(AND($B$3="Stage 3",$B$5=20,$B$11&gt;11),1,IF(AND($B$3="Stage 3",OR($B$15="Year 10-11-12 Girls"),$B$5&gt;20),MAX(2,Setup!$B$14),Setup!$B$14)))))</f>
        <v>1</v>
      </c>
      <c r="BN39" s="20" t="b">
        <f>IF(AM39="",FALSE,AND(AM39&lt;&gt;IF(AND($B$3="Stage 3",OR($B$15="Year 8 Boys",$B$15="Year 9 Boys",$B$15="Year 10-11 Boys"),$B$8="One Keeper"),$E$4,""),AM39&lt;&gt;$B39,AM39&lt;&gt;$C38,IFERROR(INDEX($E$18:$E$30,MATCH(AM39,$B$18:$B$30,0)),"No")="Yes",COUNTIF($C$32:$C38,AM39)&lt;$B$6,COUNTIF($C$32:$C38,AM39)&lt;IF($B$3="Stage 1",MIN($B$6,MAX(1,INT($B$5/$B$11))),IF(AND($B$3="Stage 3",$B$5=20,$B$11&gt;11),1,IF(AND($B$3="Stage 3",OR($B$15="Year 10-11-12 Girls"),$B$5&gt;20),MAX(2,Setup!$B$14),Setup!$B$14)))))</f>
        <v>1</v>
      </c>
      <c r="BO39" s="20" t="b">
        <f>IF(AN39="",FALSE,AND(AN39&lt;&gt;IF(AND($B$3="Stage 3",OR($B$15="Year 8 Boys",$B$15="Year 9 Boys",$B$15="Year 10-11 Boys"),$B$8="One Keeper"),$E$4,""),AN39&lt;&gt;$B39,AN39&lt;&gt;$C38,IFERROR(INDEX($E$18:$E$30,MATCH(AN39,$B$18:$B$30,0)),"No")="Yes",COUNTIF($C$32:$C38,AN39)&lt;$B$6,COUNTIF($C$32:$C38,AN39)&lt;IF($B$3="Stage 1",MIN($B$6,MAX(1,INT($B$5/$B$11))),IF(AND($B$3="Stage 3",$B$5=20,$B$11&gt;11),1,IF(AND($B$3="Stage 3",OR($B$15="Year 10-11-12 Girls"),$B$5&gt;20),MAX(2,Setup!$B$14),Setup!$B$14)))))</f>
        <v>0</v>
      </c>
      <c r="BP39" s="20" t="b">
        <f>IF(AO39="",FALSE,AND(AO39&lt;&gt;IF(AND($B$3="Stage 3",OR($B$15="Year 8 Boys",$B$15="Year 9 Boys",$B$15="Year 10-11 Boys"),$B$8="One Keeper"),$E$4,""),AO39&lt;&gt;$B39,AO39&lt;&gt;$C38,IFERROR(INDEX($E$18:$E$30,MATCH(AO39,$B$18:$B$30,0)),"No")="Yes",COUNTIF($C$32:$C38,AO39)&lt;$B$6,COUNTIF($C$32:$C38,AO39)&lt;IF($B$3="Stage 1",MIN($B$6,MAX(1,INT($B$5/$B$11))),IF(AND($B$3="Stage 3",$B$5=20,$B$11&gt;11),1,IF(AND($B$3="Stage 3",OR($B$15="Year 10-11-12 Girls"),$B$5&gt;20),MAX(2,Setup!$B$14),Setup!$B$14)))))</f>
        <v>0</v>
      </c>
      <c r="BQ39" s="20" t="b">
        <f>IF(AP39="",FALSE,AND(AP39&lt;&gt;IF(AND($B$3="Stage 3",OR($B$15="Year 8 Boys",$B$15="Year 9 Boys",$B$15="Year 10-11 Boys"),$B$8="One Keeper"),$E$4,""),AP39&lt;&gt;$B39,AP39&lt;&gt;$C38,IFERROR(INDEX($E$18:$E$30,MATCH(AP39,$B$18:$B$30,0)),"No")="Yes",COUNTIF($C$32:$C38,AP39)&lt;$B$6,COUNTIF($C$32:$C38,AP39)&lt;IF($B$3="Stage 1",MIN($B$6,MAX(1,INT($B$5/$B$11))),IF(AND($B$3="Stage 3",$B$5=20,$B$11&gt;11),1,IF(AND($B$3="Stage 3",OR($B$15="Year 10-11-12 Girls"),$B$5&gt;20),MAX(2,Setup!$B$14),Setup!$B$14)))))</f>
        <v>0</v>
      </c>
      <c r="BR39" s="20" t="b">
        <f>IF(AQ39="",FALSE,AND(AQ39&lt;&gt;IF(AND($B$3="Stage 3",OR($B$15="Year 8 Boys",$B$15="Year 9 Boys",$B$15="Year 10-11 Boys"),$B$8="One Keeper"),$E$4,""),AQ39&lt;&gt;$B39,AQ39&lt;&gt;$C38,IFERROR(INDEX($E$18:$E$30,MATCH(AQ39,$B$18:$B$30,0)),"No")="Yes",COUNTIF($C$32:$C38,AQ39)&lt;$B$6,COUNTIF($C$32:$C38,AQ39)&lt;IF($B$3="Stage 1",MIN($B$6,MAX(1,INT($B$5/$B$11))),IF(AND($B$3="Stage 3",$B$5=20,$B$11&gt;11),1,IF(AND($B$3="Stage 3",OR($B$15="Year 10-11-12 Girls"),$B$5&gt;20),MAX(2,Setup!$B$14),Setup!$B$14)))))</f>
        <v>0</v>
      </c>
      <c r="BS39" s="20" t="b">
        <f>IF(AR39="",FALSE,AND(AR39&lt;&gt;IF(AND($B$3="Stage 3",OR($B$15="Year 8 Boys",$B$15="Year 9 Boys",$B$15="Year 10-11 Boys"),$B$8="One Keeper"),$E$4,""),AR39&lt;&gt;$B39,AR39&lt;&gt;$C38,IFERROR(INDEX($E$18:$E$30,MATCH(AR39,$B$18:$B$30,0)),"No")="Yes",COUNTIF($C$32:$C38,AR39)&lt;$B$6,COUNTIF($C$32:$C38,AR39)&lt;IF($B$3="Stage 1",MIN($B$6,MAX(1,INT($B$5/$B$11))),IF(AND($B$3="Stage 3",$B$5=20,$B$11&gt;11),1,IF(AND($B$3="Stage 3",OR($B$15="Year 10-11-12 Girls"),$B$5&gt;20),MAX(2,Setup!$B$14),Setup!$B$14)))))</f>
        <v>1</v>
      </c>
      <c r="BT39" s="20" t="b">
        <f>IF(AS39="",FALSE,AND(AS39&lt;&gt;IF(AND($B$3="Stage 3",OR($B$15="Year 8 Boys",$B$15="Year 9 Boys",$B$15="Year 10-11 Boys"),$B$8="One Keeper"),$E$4,""),AS39&lt;&gt;$B39,AS39&lt;&gt;$C38,IFERROR(INDEX($E$18:$E$30,MATCH(AS39,$B$18:$B$30,0)),"No")="Yes",COUNTIF($C$32:$C38,AS39)&lt;$B$6,COUNTIF($C$32:$C38,AS39)&lt;IF($B$3="Stage 1",MIN($B$6,MAX(1,INT($B$5/$B$11))),IF(AND($B$3="Stage 3",$B$5=20,$B$11&gt;11),1,IF(AND($B$3="Stage 3",OR($B$15="Year 10-11-12 Girls"),$B$5&gt;20),MAX(2,Setup!$B$14),Setup!$B$14)))))</f>
        <v>1</v>
      </c>
      <c r="BU39" s="20" t="b">
        <f>IF(AT39="",FALSE,AND(AT39&lt;&gt;IF(AND($B$3="Stage 3",OR($B$15="Year 8 Boys",$B$15="Year 9 Boys",$B$15="Year 10-11 Boys"),$B$8="One Keeper"),$E$4,""),AT39&lt;&gt;$B39,AT39&lt;&gt;$C38,IFERROR(INDEX($E$18:$E$30,MATCH(AT39,$B$18:$B$30,0)),"No")="Yes",COUNTIF($C$32:$C38,AT39)&lt;$B$6,COUNTIF($C$32:$C38,AT39)&lt;IF($B$3="Stage 1",MIN($B$6,MAX(1,INT($B$5/$B$11))),IF(AND($B$3="Stage 3",$B$5=20,$B$11&gt;11),1,IF(AND($B$3="Stage 3",OR($B$15="Year 10-11-12 Girls"),$B$5&gt;20),MAX(2,Setup!$B$14),Setup!$B$14)))))</f>
        <v>1</v>
      </c>
      <c r="BV39" s="20" t="b">
        <f>IF(AU39="",FALSE,AND(AU39&lt;&gt;IF(AND($B$3="Stage 3",OR($B$15="Year 8 Boys",$B$15="Year 9 Boys",$B$15="Year 10-11 Boys"),$B$8="One Keeper"),$E$4,""),AU39&lt;&gt;$B39,AU39&lt;&gt;$C38,IFERROR(INDEX($E$18:$E$30,MATCH(AU39,$B$18:$B$30,0)),"No")="Yes",COUNTIF($C$32:$C38,AU39)&lt;$B$6,COUNTIF($C$32:$C38,AU39)&lt;IF($B$3="Stage 1",MIN($B$6,MAX(1,INT($B$5/$B$11))),IF(AND($B$3="Stage 3",$B$5=20,$B$11&gt;11),1,IF(AND($B$3="Stage 3",OR($B$15="Year 10-11-12 Girls"),$B$5&gt;20),MAX(2,Setup!$B$14),Setup!$B$14)))))</f>
        <v>0</v>
      </c>
      <c r="BW39" s="20"/>
      <c r="BX39" s="20"/>
      <c r="BY39" s="20"/>
      <c r="BZ39" s="20"/>
      <c r="CA39" s="20"/>
      <c r="CB39" s="20"/>
      <c r="CC39" s="20"/>
      <c r="CD39" s="20"/>
      <c r="CE39" s="20"/>
      <c r="CF39" s="20"/>
      <c r="CG39" s="20"/>
      <c r="CH39" s="20"/>
      <c r="CI39" s="20"/>
      <c r="CJ39" s="20"/>
      <c r="CK39" s="20"/>
    </row>
    <row r="40" spans="1:89" ht="26.4" customHeight="1">
      <c r="A40" s="18">
        <v>9</v>
      </c>
      <c r="B40" s="18" t="str">
        <f t="shared" si="5"/>
        <v>Player 1</v>
      </c>
      <c r="C40" s="18" t="str">
        <f t="shared" si="6"/>
        <v>Player 4</v>
      </c>
      <c r="D40" s="18">
        <f t="shared" si="7"/>
        <v>2</v>
      </c>
      <c r="E40" s="18">
        <f>IF($C40="","",COUNTIF($C$32:C40,$C40))</f>
        <v>2</v>
      </c>
      <c r="F40" s="18" t="str">
        <f t="shared" si="8"/>
        <v/>
      </c>
      <c r="H40" s="18" t="str">
        <f t="shared" si="9"/>
        <v/>
      </c>
      <c r="I40" s="18" t="str">
        <f t="shared" si="10"/>
        <v/>
      </c>
      <c r="J40" s="18" t="str">
        <f t="shared" si="11"/>
        <v/>
      </c>
      <c r="K40" s="18" t="str">
        <f>IF($H40="","",IF($B$3="Stage 1","",IF($B$10="Finals","Finals",IF($B$3="Stage 2",IF($B$5=20,IF($B$11=11,IF($I40&gt;=1,"OK","Needs 1+"),IF($I40&gt;=2,"OK","Needs 2")),IF($B$5=30,IF($I40&gt;=2,"OK","Needs 2"),IF($I40&gt;=Setup!$B$14,"OK","Below target"))),IF($B$3="Stage 3",IF(OR($B$15="Year 8 Boys",$B$15="Year 9 Boys",$B$15="Year 10-11 Boys"),"Team rule",IF($B$5=20,IF($B$11&gt;10,IF($I40&gt;=1,"OK","Needs 1+"),IF($I40&gt;=2,"OK","Needs 2")),IF($I40&gt;=MAX(2,Setup!$B$14),"OK","Needs "&amp;MAX(2,Setup!$B$14)))),"")))))</f>
        <v/>
      </c>
      <c r="L40" s="18" t="str">
        <f t="shared" si="12"/>
        <v/>
      </c>
      <c r="M40" s="18" t="str">
        <f t="shared" si="13"/>
        <v/>
      </c>
      <c r="N40" s="18" t="str">
        <f t="shared" si="14"/>
        <v/>
      </c>
      <c r="T40" s="20">
        <f t="shared" si="15"/>
        <v>2</v>
      </c>
      <c r="U40" s="20" t="b">
        <f>IF(OR($B$3="Stage 2",AND($B$3="Stage 3",OR($B$15="Year 10-11-12 Girls"))),(IF(AND($P$18&lt;&gt;"",$P$18&lt;&gt;$E$4,COUNTIF($C$32:$C39,$P$18)&gt;=2),1,0)+IF(AND($P$19&lt;&gt;"",$P$19&lt;&gt;$E$4,COUNTIF($C$32:$C39,$P$19)&gt;=2),1,0)+IF(AND($P$20&lt;&gt;"",$P$20&lt;&gt;$E$4,COUNTIF($C$32:$C39,$P$20)&gt;=2),1,0)+IF(AND($P$21&lt;&gt;"",$P$21&lt;&gt;$E$4,COUNTIF($C$32:$C39,$P$21)&gt;=2),1,0)+IF(AND($P$22&lt;&gt;"",$P$22&lt;&gt;$E$4,COUNTIF($C$32:$C39,$P$22)&gt;=2),1,0)+IF(AND($P$23&lt;&gt;"",$P$23&lt;&gt;$E$4,COUNTIF($C$32:$C39,$P$23)&gt;=2),1,0)+IF(AND($P$24&lt;&gt;"",$P$24&lt;&gt;$E$4,COUNTIF($C$32:$C39,$P$24)&gt;=2),1,0)+IF(AND($P$25&lt;&gt;"",$P$25&lt;&gt;$E$4,COUNTIF($C$32:$C39,$P$25)&gt;=2),1,0)+IF(AND($P$26&lt;&gt;"",$P$26&lt;&gt;$E$4,COUNTIF($C$32:$C39,$P$26)&gt;=2),1,0)+IF(AND($P$27&lt;&gt;"",$P$27&lt;&gt;$E$4,COUNTIF($C$32:$C39,$P$27)&gt;=2),1,0)+IF(AND($P$28&lt;&gt;"",$P$28&lt;&gt;$E$4,COUNTIF($C$32:$C39,$P$28)&gt;=2),1,0)+IF(AND($P$29&lt;&gt;"",$P$29&lt;&gt;$E$4,COUNTIF($C$32:$C39,$P$29)&gt;=2),1,0)+IF(AND($P$30&lt;&gt;"",$P$30&lt;&gt;$E$4,COUNTIF($C$32:$C39,$P$30)&gt;=2),1,0))&gt;=MAX(0,$B$11-1),IF(AND($B$3="Stage 3",OR($B$15="Year 8 Boys",$B$15="Year 9 Boys",$B$15="Year 10-11 Boys")),(IF(AND($P$18&lt;&gt;"",COUNTIF($C$32:$C39,$P$18)&gt;=2),1,0)+IF(AND($P$19&lt;&gt;"",COUNTIF($C$32:$C39,$P$19)&gt;=2),1,0)+IF(AND($P$20&lt;&gt;"",COUNTIF($C$32:$C39,$P$20)&gt;=2),1,0)+IF(AND($P$21&lt;&gt;"",COUNTIF($C$32:$C39,$P$21)&gt;=2),1,0)+IF(AND($P$22&lt;&gt;"",COUNTIF($C$32:$C39,$P$22)&gt;=2),1,0)+IF(AND($P$23&lt;&gt;"",COUNTIF($C$32:$C39,$P$23)&gt;=2),1,0)+IF(AND($P$24&lt;&gt;"",COUNTIF($C$32:$C39,$P$24)&gt;=2),1,0)+IF(AND($P$25&lt;&gt;"",COUNTIF($C$32:$C39,$P$25)&gt;=2),1,0)+IF(AND($P$26&lt;&gt;"",COUNTIF($C$32:$C39,$P$26)&gt;=2),1,0)+IF(AND($P$27&lt;&gt;"",COUNTIF($C$32:$C39,$P$27)&gt;=2),1,0)+IF(AND($P$28&lt;&gt;"",COUNTIF($C$32:$C39,$P$28)&gt;=2),1,0)+IF(AND($P$29&lt;&gt;"",COUNTIF($C$32:$C39,$P$29)&gt;=2),1,0)+IF(AND($P$30&lt;&gt;"",COUNTIF($C$32:$C39,$P$30)&gt;=2),1,0))&gt;=7,TRUE))</f>
        <v>1</v>
      </c>
      <c r="V40" s="20">
        <f t="shared" si="16"/>
        <v>2</v>
      </c>
      <c r="W40" s="20">
        <f t="shared" si="16"/>
        <v>3</v>
      </c>
      <c r="X40" s="20">
        <f t="shared" si="16"/>
        <v>4</v>
      </c>
      <c r="Y40" s="20">
        <f t="shared" si="16"/>
        <v>5</v>
      </c>
      <c r="Z40" s="20">
        <f t="shared" si="16"/>
        <v>6</v>
      </c>
      <c r="AA40" s="20">
        <f t="shared" si="16"/>
        <v>7</v>
      </c>
      <c r="AB40" s="20">
        <f t="shared" si="16"/>
        <v>1</v>
      </c>
      <c r="AC40" s="20">
        <f t="shared" si="16"/>
        <v>2</v>
      </c>
      <c r="AD40" s="20">
        <f t="shared" si="16"/>
        <v>3</v>
      </c>
      <c r="AE40" s="20">
        <f t="shared" si="16"/>
        <v>4</v>
      </c>
      <c r="AF40" s="20">
        <f t="shared" si="16"/>
        <v>5</v>
      </c>
      <c r="AG40" s="20">
        <f t="shared" si="16"/>
        <v>6</v>
      </c>
      <c r="AH40" s="20">
        <f t="shared" si="16"/>
        <v>7</v>
      </c>
      <c r="AI40" s="20" t="str">
        <f t="shared" si="17"/>
        <v>Player 4</v>
      </c>
      <c r="AJ40" s="20" t="str">
        <f t="shared" si="18"/>
        <v>Player 5</v>
      </c>
      <c r="AK40" s="20" t="str">
        <f t="shared" si="19"/>
        <v>Player 6</v>
      </c>
      <c r="AL40" s="20" t="str">
        <f t="shared" si="20"/>
        <v>Player 7</v>
      </c>
      <c r="AM40" s="20" t="str">
        <f t="shared" si="21"/>
        <v>Player 1</v>
      </c>
      <c r="AN40" s="20" t="str">
        <f t="shared" si="22"/>
        <v>Player 2</v>
      </c>
      <c r="AO40" s="20" t="str">
        <f t="shared" si="23"/>
        <v>Player 3</v>
      </c>
      <c r="AP40" s="20" t="str">
        <f t="shared" si="24"/>
        <v>Player 4</v>
      </c>
      <c r="AQ40" s="20" t="str">
        <f t="shared" si="25"/>
        <v>Player 5</v>
      </c>
      <c r="AR40" s="20" t="str">
        <f t="shared" si="26"/>
        <v>Player 6</v>
      </c>
      <c r="AS40" s="20" t="str">
        <f t="shared" si="27"/>
        <v>Player 7</v>
      </c>
      <c r="AT40" s="20" t="str">
        <f t="shared" si="28"/>
        <v>Player 1</v>
      </c>
      <c r="AU40" s="20" t="str">
        <f t="shared" si="29"/>
        <v>Player 2</v>
      </c>
      <c r="AV40" s="20" t="b">
        <f>IF(AI40="",FALSE,AND(AI40&lt;&gt;$B40,AI40&lt;&gt;$C39,IFERROR(INDEX($E$18:$E$30,MATCH(AI40,$B$18:$B$30,0)),"No")="Yes",IF(AND(OR($B$3="Stage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Girls"))),$B$5&gt;20),MIN(3,MAX(2,Setup!$B$14)),2))*2),AI40=$E$5,IF(AND(OR($B$3="Stage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Girls"))),$B$5&gt;20),MIN(3,MAX(2,Setup!$B$14)),2))*2-1))),AI40=$E$4,TRUE)),COUNTIF($C$32:$C39,AI40)&lt;$B$6,IF($BI40,COUNTIF($C$32:$C39,AI40)&lt;IF($B$3="Stage 1",MIN($B$6,MAX(1,INT($B$5/$B$11))),IF(AND($B$3="Stage 3",$B$5=20,$B$11&gt;11),1,IF(AND($B$3="Stage 3",OR($B$15="Year 10-11-12 Girls"),$B$5&gt;20),MAX(2,Setup!$B$14),Setup!$B$14))),IF(AND($B$3&lt;&gt;"Stage 2",$B$3&lt;&gt;"Stage 3"),TRUE,IF($U40,TRUE,COUNTIF($C$32:$C39,AI40)&lt;IF(AND($B$3="Stage 2",$B$5=20,AI40=$E$5,$A40&lt;=IF($B$8="One Keeper",$B$5,$B$8)),2,IF(AND(OR($B$3="Stage 2",AND($B$3="Stage 3",OR($B$15="Year 10-11-12 Girls"))),AI40=$E$5,$A40&lt;=IF($B$8="One Keeper",$B$5,$B$8)),3,$B$9)))))))</f>
        <v>1</v>
      </c>
      <c r="AW40" s="20" t="b">
        <f>IF(AJ40="",FALSE,AND(AJ40&lt;&gt;$B40,AJ40&lt;&gt;$C39,IFERROR(INDEX($E$18:$E$30,MATCH(AJ40,$B$18:$B$30,0)),"No")="Yes",IF(AND(OR($B$3="Stage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Girls"))),$B$5&gt;20),MIN(3,MAX(2,Setup!$B$14)),2))*2),AJ40=$E$5,IF(AND(OR($B$3="Stage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Girls"))),$B$5&gt;20),MIN(3,MAX(2,Setup!$B$14)),2))*2-1))),AJ40=$E$4,TRUE)),COUNTIF($C$32:$C39,AJ40)&lt;$B$6,IF($BI40,COUNTIF($C$32:$C39,AJ40)&lt;IF($B$3="Stage 1",MIN($B$6,MAX(1,INT($B$5/$B$11))),IF(AND($B$3="Stage 3",$B$5=20,$B$11&gt;11),1,IF(AND($B$3="Stage 3",OR($B$15="Year 10-11-12 Girls"),$B$5&gt;20),MAX(2,Setup!$B$14),Setup!$B$14))),IF(AND($B$3&lt;&gt;"Stage 2",$B$3&lt;&gt;"Stage 3"),TRUE,IF($U40,TRUE,COUNTIF($C$32:$C39,AJ40)&lt;IF(AND($B$3="Stage 2",$B$5=20,AJ40=$E$5,$A40&lt;=IF($B$8="One Keeper",$B$5,$B$8)),2,IF(AND(OR($B$3="Stage 2",AND($B$3="Stage 3",OR($B$15="Year 10-11-12 Girls"))),AJ40=$E$5,$A40&lt;=IF($B$8="One Keeper",$B$5,$B$8)),3,$B$9)))))))</f>
        <v>0</v>
      </c>
      <c r="AX40" s="20" t="b">
        <f>IF(AK40="",FALSE,AND(AK40&lt;&gt;$B40,AK40&lt;&gt;$C39,IFERROR(INDEX($E$18:$E$30,MATCH(AK40,$B$18:$B$30,0)),"No")="Yes",IF(AND(OR($B$3="Stage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Girls"))),$B$5&gt;20),MIN(3,MAX(2,Setup!$B$14)),2))*2),AK40=$E$5,IF(AND(OR($B$3="Stage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Girls"))),$B$5&gt;20),MIN(3,MAX(2,Setup!$B$14)),2))*2-1))),AK40=$E$4,TRUE)),COUNTIF($C$32:$C39,AK40)&lt;$B$6,IF($BI40,COUNTIF($C$32:$C39,AK40)&lt;IF($B$3="Stage 1",MIN($B$6,MAX(1,INT($B$5/$B$11))),IF(AND($B$3="Stage 3",$B$5=20,$B$11&gt;11),1,IF(AND($B$3="Stage 3",OR($B$15="Year 10-11-12 Girls"),$B$5&gt;20),MAX(2,Setup!$B$14),Setup!$B$14))),IF(AND($B$3&lt;&gt;"Stage 2",$B$3&lt;&gt;"Stage 3"),TRUE,IF($U40,TRUE,COUNTIF($C$32:$C39,AK40)&lt;IF(AND($B$3="Stage 2",$B$5=20,AK40=$E$5,$A40&lt;=IF($B$8="One Keeper",$B$5,$B$8)),2,IF(AND(OR($B$3="Stage 2",AND($B$3="Stage 3",OR($B$15="Year 10-11-12 Girls"))),AK40=$E$5,$A40&lt;=IF($B$8="One Keeper",$B$5,$B$8)),3,$B$9)))))))</f>
        <v>1</v>
      </c>
      <c r="AY40" s="20" t="b">
        <f>IF(AL40="",FALSE,AND(AL40&lt;&gt;$B40,AL40&lt;&gt;$C39,IFERROR(INDEX($E$18:$E$30,MATCH(AL40,$B$18:$B$30,0)),"No")="Yes",IF(AND(OR($B$3="Stage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Girls"))),$B$5&gt;20),MIN(3,MAX(2,Setup!$B$14)),2))*2),AL40=$E$5,IF(AND(OR($B$3="Stage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Girls"))),$B$5&gt;20),MIN(3,MAX(2,Setup!$B$14)),2))*2-1))),AL40=$E$4,TRUE)),COUNTIF($C$32:$C39,AL40)&lt;$B$6,IF($BI40,COUNTIF($C$32:$C39,AL40)&lt;IF($B$3="Stage 1",MIN($B$6,MAX(1,INT($B$5/$B$11))),IF(AND($B$3="Stage 3",$B$5=20,$B$11&gt;11),1,IF(AND($B$3="Stage 3",OR($B$15="Year 10-11-12 Girls"),$B$5&gt;20),MAX(2,Setup!$B$14),Setup!$B$14))),IF(AND($B$3&lt;&gt;"Stage 2",$B$3&lt;&gt;"Stage 3"),TRUE,IF($U40,TRUE,COUNTIF($C$32:$C39,AL40)&lt;IF(AND($B$3="Stage 2",$B$5=20,AL40=$E$5,$A40&lt;=IF($B$8="One Keeper",$B$5,$B$8)),2,IF(AND(OR($B$3="Stage 2",AND($B$3="Stage 3",OR($B$15="Year 10-11-12 Girls"))),AL40=$E$5,$A40&lt;=IF($B$8="One Keeper",$B$5,$B$8)),3,$B$9)))))))</f>
        <v>1</v>
      </c>
      <c r="AZ40" s="20" t="b">
        <f>IF(AM40="",FALSE,AND(AM40&lt;&gt;$B40,AM40&lt;&gt;$C39,IFERROR(INDEX($E$18:$E$30,MATCH(AM40,$B$18:$B$30,0)),"No")="Yes",IF(AND(OR($B$3="Stage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Girls"))),$B$5&gt;20),MIN(3,MAX(2,Setup!$B$14)),2))*2),AM40=$E$5,IF(AND(OR($B$3="Stage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Girls"))),$B$5&gt;20),MIN(3,MAX(2,Setup!$B$14)),2))*2-1))),AM40=$E$4,TRUE)),COUNTIF($C$32:$C39,AM40)&lt;$B$6,IF($BI40,COUNTIF($C$32:$C39,AM40)&lt;IF($B$3="Stage 1",MIN($B$6,MAX(1,INT($B$5/$B$11))),IF(AND($B$3="Stage 3",$B$5=20,$B$11&gt;11),1,IF(AND($B$3="Stage 3",OR($B$15="Year 10-11-12 Girls"),$B$5&gt;20),MAX(2,Setup!$B$14),Setup!$B$14))),IF(AND($B$3&lt;&gt;"Stage 2",$B$3&lt;&gt;"Stage 3"),TRUE,IF($U40,TRUE,COUNTIF($C$32:$C39,AM40)&lt;IF(AND($B$3="Stage 2",$B$5=20,AM40=$E$5,$A40&lt;=IF($B$8="One Keeper",$B$5,$B$8)),2,IF(AND(OR($B$3="Stage 2",AND($B$3="Stage 3",OR($B$15="Year 10-11-12 Girls"))),AM40=$E$5,$A40&lt;=IF($B$8="One Keeper",$B$5,$B$8)),3,$B$9)))))))</f>
        <v>0</v>
      </c>
      <c r="BA40" s="20" t="b">
        <f>IF(AN40="",FALSE,AND(AN40&lt;&gt;$B40,AN40&lt;&gt;$C39,IFERROR(INDEX($E$18:$E$30,MATCH(AN40,$B$18:$B$30,0)),"No")="Yes",IF(AND(OR($B$3="Stage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Girls"))),$B$5&gt;20),MIN(3,MAX(2,Setup!$B$14)),2))*2),AN40=$E$5,IF(AND(OR($B$3="Stage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Girls"))),$B$5&gt;20),MIN(3,MAX(2,Setup!$B$14)),2))*2-1))),AN40=$E$4,TRUE)),COUNTIF($C$32:$C39,AN40)&lt;$B$6,IF($BI40,COUNTIF($C$32:$C39,AN40)&lt;IF($B$3="Stage 1",MIN($B$6,MAX(1,INT($B$5/$B$11))),IF(AND($B$3="Stage 3",$B$5=20,$B$11&gt;11),1,IF(AND($B$3="Stage 3",OR($B$15="Year 10-11-12 Girls"),$B$5&gt;20),MAX(2,Setup!$B$14),Setup!$B$14))),IF(AND($B$3&lt;&gt;"Stage 2",$B$3&lt;&gt;"Stage 3"),TRUE,IF($U40,TRUE,COUNTIF($C$32:$C39,AN40)&lt;IF(AND($B$3="Stage 2",$B$5=20,AN40=$E$5,$A40&lt;=IF($B$8="One Keeper",$B$5,$B$8)),2,IF(AND(OR($B$3="Stage 2",AND($B$3="Stage 3",OR($B$15="Year 10-11-12 Girls"))),AN40=$E$5,$A40&lt;=IF($B$8="One Keeper",$B$5,$B$8)),3,$B$9)))))))</f>
        <v>0</v>
      </c>
      <c r="BB40" s="20" t="b">
        <f>IF(AO40="",FALSE,AND(AO40&lt;&gt;$B40,AO40&lt;&gt;$C39,IFERROR(INDEX($E$18:$E$30,MATCH(AO40,$B$18:$B$30,0)),"No")="Yes",IF(AND(OR($B$3="Stage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Girls"))),$B$5&gt;20),MIN(3,MAX(2,Setup!$B$14)),2))*2),AO40=$E$5,IF(AND(OR($B$3="Stage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Girls"))),$B$5&gt;20),MIN(3,MAX(2,Setup!$B$14)),2))*2-1))),AO40=$E$4,TRUE)),COUNTIF($C$32:$C39,AO40)&lt;$B$6,IF($BI40,COUNTIF($C$32:$C39,AO40)&lt;IF($B$3="Stage 1",MIN($B$6,MAX(1,INT($B$5/$B$11))),IF(AND($B$3="Stage 3",$B$5=20,$B$11&gt;11),1,IF(AND($B$3="Stage 3",OR($B$15="Year 10-11-12 Girls"),$B$5&gt;20),MAX(2,Setup!$B$14),Setup!$B$14))),IF(AND($B$3&lt;&gt;"Stage 2",$B$3&lt;&gt;"Stage 3"),TRUE,IF($U40,TRUE,COUNTIF($C$32:$C39,AO40)&lt;IF(AND($B$3="Stage 2",$B$5=20,AO40=$E$5,$A40&lt;=IF($B$8="One Keeper",$B$5,$B$8)),2,IF(AND(OR($B$3="Stage 2",AND($B$3="Stage 3",OR($B$15="Year 10-11-12 Girls"))),AO40=$E$5,$A40&lt;=IF($B$8="One Keeper",$B$5,$B$8)),3,$B$9)))))))</f>
        <v>0</v>
      </c>
      <c r="BC40" s="20" t="b">
        <f>IF(AP40="",FALSE,AND(AP40&lt;&gt;$B40,AP40&lt;&gt;$C39,IFERROR(INDEX($E$18:$E$30,MATCH(AP40,$B$18:$B$30,0)),"No")="Yes",IF(AND(OR($B$3="Stage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Girls"))),$B$5&gt;20),MIN(3,MAX(2,Setup!$B$14)),2))*2),AP40=$E$5,IF(AND(OR($B$3="Stage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Girls"))),$B$5&gt;20),MIN(3,MAX(2,Setup!$B$14)),2))*2-1))),AP40=$E$4,TRUE)),COUNTIF($C$32:$C39,AP40)&lt;$B$6,IF($BI40,COUNTIF($C$32:$C39,AP40)&lt;IF($B$3="Stage 1",MIN($B$6,MAX(1,INT($B$5/$B$11))),IF(AND($B$3="Stage 3",$B$5=20,$B$11&gt;11),1,IF(AND($B$3="Stage 3",OR($B$15="Year 10-11-12 Girls"),$B$5&gt;20),MAX(2,Setup!$B$14),Setup!$B$14))),IF(AND($B$3&lt;&gt;"Stage 2",$B$3&lt;&gt;"Stage 3"),TRUE,IF($U40,TRUE,COUNTIF($C$32:$C39,AP40)&lt;IF(AND($B$3="Stage 2",$B$5=20,AP40=$E$5,$A40&lt;=IF($B$8="One Keeper",$B$5,$B$8)),2,IF(AND(OR($B$3="Stage 2",AND($B$3="Stage 3",OR($B$15="Year 10-11-12 Girls"))),AP40=$E$5,$A40&lt;=IF($B$8="One Keeper",$B$5,$B$8)),3,$B$9)))))))</f>
        <v>1</v>
      </c>
      <c r="BD40" s="20" t="b">
        <f>IF(AQ40="",FALSE,AND(AQ40&lt;&gt;$B40,AQ40&lt;&gt;$C39,IFERROR(INDEX($E$18:$E$30,MATCH(AQ40,$B$18:$B$30,0)),"No")="Yes",IF(AND(OR($B$3="Stage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Girls"))),$B$5&gt;20),MIN(3,MAX(2,Setup!$B$14)),2))*2),AQ40=$E$5,IF(AND(OR($B$3="Stage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Girls"))),$B$5&gt;20),MIN(3,MAX(2,Setup!$B$14)),2))*2-1))),AQ40=$E$4,TRUE)),COUNTIF($C$32:$C39,AQ40)&lt;$B$6,IF($BI40,COUNTIF($C$32:$C39,AQ40)&lt;IF($B$3="Stage 1",MIN($B$6,MAX(1,INT($B$5/$B$11))),IF(AND($B$3="Stage 3",$B$5=20,$B$11&gt;11),1,IF(AND($B$3="Stage 3",OR($B$15="Year 10-11-12 Girls"),$B$5&gt;20),MAX(2,Setup!$B$14),Setup!$B$14))),IF(AND($B$3&lt;&gt;"Stage 2",$B$3&lt;&gt;"Stage 3"),TRUE,IF($U40,TRUE,COUNTIF($C$32:$C39,AQ40)&lt;IF(AND($B$3="Stage 2",$B$5=20,AQ40=$E$5,$A40&lt;=IF($B$8="One Keeper",$B$5,$B$8)),2,IF(AND(OR($B$3="Stage 2",AND($B$3="Stage 3",OR($B$15="Year 10-11-12 Girls"))),AQ40=$E$5,$A40&lt;=IF($B$8="One Keeper",$B$5,$B$8)),3,$B$9)))))))</f>
        <v>0</v>
      </c>
      <c r="BE40" s="20" t="b">
        <f>IF(AR40="",FALSE,AND(AR40&lt;&gt;$B40,AR40&lt;&gt;$C39,IFERROR(INDEX($E$18:$E$30,MATCH(AR40,$B$18:$B$30,0)),"No")="Yes",IF(AND(OR($B$3="Stage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Girls"))),$B$5&gt;20),MIN(3,MAX(2,Setup!$B$14)),2))*2),AR40=$E$5,IF(AND(OR($B$3="Stage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Girls"))),$B$5&gt;20),MIN(3,MAX(2,Setup!$B$14)),2))*2-1))),AR40=$E$4,TRUE)),COUNTIF($C$32:$C39,AR40)&lt;$B$6,IF($BI40,COUNTIF($C$32:$C39,AR40)&lt;IF($B$3="Stage 1",MIN($B$6,MAX(1,INT($B$5/$B$11))),IF(AND($B$3="Stage 3",$B$5=20,$B$11&gt;11),1,IF(AND($B$3="Stage 3",OR($B$15="Year 10-11-12 Girls"),$B$5&gt;20),MAX(2,Setup!$B$14),Setup!$B$14))),IF(AND($B$3&lt;&gt;"Stage 2",$B$3&lt;&gt;"Stage 3"),TRUE,IF($U40,TRUE,COUNTIF($C$32:$C39,AR40)&lt;IF(AND($B$3="Stage 2",$B$5=20,AR40=$E$5,$A40&lt;=IF($B$8="One Keeper",$B$5,$B$8)),2,IF(AND(OR($B$3="Stage 2",AND($B$3="Stage 3",OR($B$15="Year 10-11-12 Girls"))),AR40=$E$5,$A40&lt;=IF($B$8="One Keeper",$B$5,$B$8)),3,$B$9)))))))</f>
        <v>1</v>
      </c>
      <c r="BF40" s="20" t="b">
        <f>IF(AS40="",FALSE,AND(AS40&lt;&gt;$B40,AS40&lt;&gt;$C39,IFERROR(INDEX($E$18:$E$30,MATCH(AS40,$B$18:$B$30,0)),"No")="Yes",IF(AND(OR($B$3="Stage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Girls"))),$B$5&gt;20),MIN(3,MAX(2,Setup!$B$14)),2))*2),AS40=$E$5,IF(AND(OR($B$3="Stage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Girls"))),$B$5&gt;20),MIN(3,MAX(2,Setup!$B$14)),2))*2-1))),AS40=$E$4,TRUE)),COUNTIF($C$32:$C39,AS40)&lt;$B$6,IF($BI40,COUNTIF($C$32:$C39,AS40)&lt;IF($B$3="Stage 1",MIN($B$6,MAX(1,INT($B$5/$B$11))),IF(AND($B$3="Stage 3",$B$5=20,$B$11&gt;11),1,IF(AND($B$3="Stage 3",OR($B$15="Year 10-11-12 Girls"),$B$5&gt;20),MAX(2,Setup!$B$14),Setup!$B$14))),IF(AND($B$3&lt;&gt;"Stage 2",$B$3&lt;&gt;"Stage 3"),TRUE,IF($U40,TRUE,COUNTIF($C$32:$C39,AS40)&lt;IF(AND($B$3="Stage 2",$B$5=20,AS40=$E$5,$A40&lt;=IF($B$8="One Keeper",$B$5,$B$8)),2,IF(AND(OR($B$3="Stage 2",AND($B$3="Stage 3",OR($B$15="Year 10-11-12 Girls"))),AS40=$E$5,$A40&lt;=IF($B$8="One Keeper",$B$5,$B$8)),3,$B$9)))))))</f>
        <v>1</v>
      </c>
      <c r="BG40" s="20" t="b">
        <f>IF(AT40="",FALSE,AND(AT40&lt;&gt;$B40,AT40&lt;&gt;$C39,IFERROR(INDEX($E$18:$E$30,MATCH(AT40,$B$18:$B$30,0)),"No")="Yes",IF(AND(OR($B$3="Stage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Girls"))),$B$5&gt;20),MIN(3,MAX(2,Setup!$B$14)),2))*2),AT40=$E$5,IF(AND(OR($B$3="Stage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Girls"))),$B$5&gt;20),MIN(3,MAX(2,Setup!$B$14)),2))*2-1))),AT40=$E$4,TRUE)),COUNTIF($C$32:$C39,AT40)&lt;$B$6,IF($BI40,COUNTIF($C$32:$C39,AT40)&lt;IF($B$3="Stage 1",MIN($B$6,MAX(1,INT($B$5/$B$11))),IF(AND($B$3="Stage 3",$B$5=20,$B$11&gt;11),1,IF(AND($B$3="Stage 3",OR($B$15="Year 10-11-12 Girls"),$B$5&gt;20),MAX(2,Setup!$B$14),Setup!$B$14))),IF(AND($B$3&lt;&gt;"Stage 2",$B$3&lt;&gt;"Stage 3"),TRUE,IF($U40,TRUE,COUNTIF($C$32:$C39,AT40)&lt;IF(AND($B$3="Stage 2",$B$5=20,AT40=$E$5,$A40&lt;=IF($B$8="One Keeper",$B$5,$B$8)),2,IF(AND(OR($B$3="Stage 2",AND($B$3="Stage 3",OR($B$15="Year 10-11-12 Girls"))),AT40=$E$5,$A40&lt;=IF($B$8="One Keeper",$B$5,$B$8)),3,$B$9)))))))</f>
        <v>0</v>
      </c>
      <c r="BH40" s="20" t="b">
        <f>IF(AU40="",FALSE,AND(AU40&lt;&gt;$B40,AU40&lt;&gt;$C39,IFERROR(INDEX($E$18:$E$30,MATCH(AU40,$B$18:$B$30,0)),"No")="Yes",IF(AND(OR($B$3="Stage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Girls"))),$B$5&gt;20),MIN(3,MAX(2,Setup!$B$14)),2))*2),AU40=$E$5,IF(AND(OR($B$3="Stage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Girls"))),$B$5&gt;20),MIN(3,MAX(2,Setup!$B$14)),2))*2-1))),AU40=$E$4,TRUE)),COUNTIF($C$32:$C39,AU40)&lt;$B$6,IF($BI40,COUNTIF($C$32:$C39,AU40)&lt;IF($B$3="Stage 1",MIN($B$6,MAX(1,INT($B$5/$B$11))),IF(AND($B$3="Stage 3",$B$5=20,$B$11&gt;11),1,IF(AND($B$3="Stage 3",OR($B$15="Year 10-11-12 Girls"),$B$5&gt;20),MAX(2,Setup!$B$14),Setup!$B$14))),IF(AND($B$3&lt;&gt;"Stage 2",$B$3&lt;&gt;"Stage 3"),TRUE,IF($U40,TRUE,COUNTIF($C$32:$C39,AU40)&lt;IF(AND($B$3="Stage 2",$B$5=20,AU40=$E$5,$A40&lt;=IF($B$8="One Keeper",$B$5,$B$8)),2,IF(AND(OR($B$3="Stage 2",AND($B$3="Stage 3",OR($B$15="Year 10-11-12 Girls"))),AU40=$E$5,$A40&lt;=IF($B$8="One Keeper",$B$5,$B$8)),3,$B$9)))))))</f>
        <v>0</v>
      </c>
      <c r="BI40"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Keeper",$E$4&lt;&gt;$E$5,$A40&lt;=IF($B$8="One Keeper",$B$5,$B$8),COUNTIF($C$32:$C39,$E$5)&lt;IF(AND($B$3="Stage 3",$B$5=20,$B$11&gt;11),1,IF(AND(OR($B$3="Stage 2",AND($B$3="Stage 3",OR($B$15="Year 10-11-12 Girls"))),$B$5&gt;20),MIN(3,MAX(2,Setup!$B$14)),2)),IFERROR(INDEX($E$18:$E$30,MATCH($E$5,$B$18:$B$30,0)),"No")="Yes",$C39&lt;&gt;$E$5,MOD($A40,2)=0,$A40&lt;=IF(AND($B$3="Stage 3",$B$5=20,$B$11&gt;11),1,IF(AND(OR($B$3="Stage 2",AND($B$3="Stage 3",OR($B$15="Year 10-11-12 Girls"))),$B$5&gt;20),MIN(3,MAX(2,Setup!$B$14)),2))*2),AND(OR($B$3="Stage 1",$B$3="Stage 2",AND($B$3="Stage 3",OR(OR($B$15="Year 10-11-12 Girls"),OR($B$15="Year 8 Boys",$B$15="Year 9 Boys",$B$15="Year 10-11 Boys")))),$B$8&lt;&gt;"One Keeper",$E$4&lt;&gt;$E$5,$A40&gt;IF($B$8="One Keeper",$B$5,$B$8),COUNTIF($C$32:$C39,$E$4)&lt;IF(AND($B$3="Stage 3",$B$5=20,$B$11&gt;11),1,IF(AND(OR($B$3="Stage 2",AND($B$3="Stage 3",OR($B$15="Year 10-11-12 Girls"))),$B$5&gt;20),MIN(3,MAX(2,Setup!$B$14)),2)),IFERROR(INDEX($E$18:$E$30,MATCH($E$4,$B$18:$B$30,0)),"No")="Yes",$C39&lt;&gt;$E$4,IF($B$7="Three-over spell",AND(MOD($A40-IF($B$8="One Keeper",$B$5,$B$8)-1,3)=0,($A40-IF($B$8="One Keeper",$B$5,$B$8))&lt;=1+(IF(AND($B$3="Stage 3",$B$5=20,$B$11&gt;11),1,IF(AND(OR($B$3="Stage 2",AND($B$3="Stage 3",OR($B$15="Year 10-11-12 Girls"))),$B$5&gt;20),MIN(3,MAX(2,Setup!$B$14)),2))-1)*3),AND(MOD($A40-IF($B$8="One Keeper",$B$5,$B$8),2)=1,($A40-IF($B$8="One Keeper",$B$5,$B$8))&lt;=IF(AND($B$3="Stage 3",$B$5=20,$B$11&gt;11),1,IF(AND(OR($B$3="Stage 2",AND($B$3="Stage 3",OR($B$15="Year 10-11-12 Girls"))),$B$5&gt;20),MIN(3,MAX(2,Setup!$B$14)),2))*2-1))))),OR($U40,AND($B$3="Stage 3",$B$5=20,$B$11&gt;11)),OR($BJ40,$BK40,$BL40,$BM40,$BN40,$BO40,$BP40,$BQ40,$BR40,$BS40,$BT40,$BU40,$BV40))</f>
        <v>1</v>
      </c>
      <c r="BJ40" s="20" t="b">
        <f>IF(AI40="",FALSE,AND(AI40&lt;&gt;IF(AND($B$3="Stage 3",OR($B$15="Year 8 Boys",$B$15="Year 9 Boys",$B$15="Year 10-11 Boys"),$B$8="One Keeper"),$E$4,""),AI40&lt;&gt;$B40,AI40&lt;&gt;$C39,IFERROR(INDEX($E$18:$E$30,MATCH(AI40,$B$18:$B$30,0)),"No")="Yes",COUNTIF($C$32:$C39,AI40)&lt;$B$6,COUNTIF($C$32:$C39,AI40)&lt;IF($B$3="Stage 1",MIN($B$6,MAX(1,INT($B$5/$B$11))),IF(AND($B$3="Stage 3",$B$5=20,$B$11&gt;11),1,IF(AND($B$3="Stage 3",OR($B$15="Year 10-11-12 Girls"),$B$5&gt;20),MAX(2,Setup!$B$14),Setup!$B$14)))))</f>
        <v>1</v>
      </c>
      <c r="BK40" s="20" t="b">
        <f>IF(AJ40="",FALSE,AND(AJ40&lt;&gt;IF(AND($B$3="Stage 3",OR($B$15="Year 8 Boys",$B$15="Year 9 Boys",$B$15="Year 10-11 Boys"),$B$8="One Keeper"),$E$4,""),AJ40&lt;&gt;$B40,AJ40&lt;&gt;$C39,IFERROR(INDEX($E$18:$E$30,MATCH(AJ40,$B$18:$B$30,0)),"No")="Yes",COUNTIF($C$32:$C39,AJ40)&lt;$B$6,COUNTIF($C$32:$C39,AJ40)&lt;IF($B$3="Stage 1",MIN($B$6,MAX(1,INT($B$5/$B$11))),IF(AND($B$3="Stage 3",$B$5=20,$B$11&gt;11),1,IF(AND($B$3="Stage 3",OR($B$15="Year 10-11-12 Girls"),$B$5&gt;20),MAX(2,Setup!$B$14),Setup!$B$14)))))</f>
        <v>0</v>
      </c>
      <c r="BL40" s="20" t="b">
        <f>IF(AK40="",FALSE,AND(AK40&lt;&gt;IF(AND($B$3="Stage 3",OR($B$15="Year 8 Boys",$B$15="Year 9 Boys",$B$15="Year 10-11 Boys"),$B$8="One Keeper"),$E$4,""),AK40&lt;&gt;$B40,AK40&lt;&gt;$C39,IFERROR(INDEX($E$18:$E$30,MATCH(AK40,$B$18:$B$30,0)),"No")="Yes",COUNTIF($C$32:$C39,AK40)&lt;$B$6,COUNTIF($C$32:$C39,AK40)&lt;IF($B$3="Stage 1",MIN($B$6,MAX(1,INT($B$5/$B$11))),IF(AND($B$3="Stage 3",$B$5=20,$B$11&gt;11),1,IF(AND($B$3="Stage 3",OR($B$15="Year 10-11-12 Girls"),$B$5&gt;20),MAX(2,Setup!$B$14),Setup!$B$14)))))</f>
        <v>1</v>
      </c>
      <c r="BM40" s="20" t="b">
        <f>IF(AL40="",FALSE,AND(AL40&lt;&gt;IF(AND($B$3="Stage 3",OR($B$15="Year 8 Boys",$B$15="Year 9 Boys",$B$15="Year 10-11 Boys"),$B$8="One Keeper"),$E$4,""),AL40&lt;&gt;$B40,AL40&lt;&gt;$C39,IFERROR(INDEX($E$18:$E$30,MATCH(AL40,$B$18:$B$30,0)),"No")="Yes",COUNTIF($C$32:$C39,AL40)&lt;$B$6,COUNTIF($C$32:$C39,AL40)&lt;IF($B$3="Stage 1",MIN($B$6,MAX(1,INT($B$5/$B$11))),IF(AND($B$3="Stage 3",$B$5=20,$B$11&gt;11),1,IF(AND($B$3="Stage 3",OR($B$15="Year 10-11-12 Girls"),$B$5&gt;20),MAX(2,Setup!$B$14),Setup!$B$14)))))</f>
        <v>1</v>
      </c>
      <c r="BN40" s="20" t="b">
        <f>IF(AM40="",FALSE,AND(AM40&lt;&gt;IF(AND($B$3="Stage 3",OR($B$15="Year 8 Boys",$B$15="Year 9 Boys",$B$15="Year 10-11 Boys"),$B$8="One Keeper"),$E$4,""),AM40&lt;&gt;$B40,AM40&lt;&gt;$C39,IFERROR(INDEX($E$18:$E$30,MATCH(AM40,$B$18:$B$30,0)),"No")="Yes",COUNTIF($C$32:$C39,AM40)&lt;$B$6,COUNTIF($C$32:$C39,AM40)&lt;IF($B$3="Stage 1",MIN($B$6,MAX(1,INT($B$5/$B$11))),IF(AND($B$3="Stage 3",$B$5=20,$B$11&gt;11),1,IF(AND($B$3="Stage 3",OR($B$15="Year 10-11-12 Girls"),$B$5&gt;20),MAX(2,Setup!$B$14),Setup!$B$14)))))</f>
        <v>0</v>
      </c>
      <c r="BO40" s="20" t="b">
        <f>IF(AN40="",FALSE,AND(AN40&lt;&gt;IF(AND($B$3="Stage 3",OR($B$15="Year 8 Boys",$B$15="Year 9 Boys",$B$15="Year 10-11 Boys"),$B$8="One Keeper"),$E$4,""),AN40&lt;&gt;$B40,AN40&lt;&gt;$C39,IFERROR(INDEX($E$18:$E$30,MATCH(AN40,$B$18:$B$30,0)),"No")="Yes",COUNTIF($C$32:$C39,AN40)&lt;$B$6,COUNTIF($C$32:$C39,AN40)&lt;IF($B$3="Stage 1",MIN($B$6,MAX(1,INT($B$5/$B$11))),IF(AND($B$3="Stage 3",$B$5=20,$B$11&gt;11),1,IF(AND($B$3="Stage 3",OR($B$15="Year 10-11-12 Girls"),$B$5&gt;20),MAX(2,Setup!$B$14),Setup!$B$14)))))</f>
        <v>0</v>
      </c>
      <c r="BP40" s="20" t="b">
        <f>IF(AO40="",FALSE,AND(AO40&lt;&gt;IF(AND($B$3="Stage 3",OR($B$15="Year 8 Boys",$B$15="Year 9 Boys",$B$15="Year 10-11 Boys"),$B$8="One Keeper"),$E$4,""),AO40&lt;&gt;$B40,AO40&lt;&gt;$C39,IFERROR(INDEX($E$18:$E$30,MATCH(AO40,$B$18:$B$30,0)),"No")="Yes",COUNTIF($C$32:$C39,AO40)&lt;$B$6,COUNTIF($C$32:$C39,AO40)&lt;IF($B$3="Stage 1",MIN($B$6,MAX(1,INT($B$5/$B$11))),IF(AND($B$3="Stage 3",$B$5=20,$B$11&gt;11),1,IF(AND($B$3="Stage 3",OR($B$15="Year 10-11-12 Girls"),$B$5&gt;20),MAX(2,Setup!$B$14),Setup!$B$14)))))</f>
        <v>0</v>
      </c>
      <c r="BQ40" s="20" t="b">
        <f>IF(AP40="",FALSE,AND(AP40&lt;&gt;IF(AND($B$3="Stage 3",OR($B$15="Year 8 Boys",$B$15="Year 9 Boys",$B$15="Year 10-11 Boys"),$B$8="One Keeper"),$E$4,""),AP40&lt;&gt;$B40,AP40&lt;&gt;$C39,IFERROR(INDEX($E$18:$E$30,MATCH(AP40,$B$18:$B$30,0)),"No")="Yes",COUNTIF($C$32:$C39,AP40)&lt;$B$6,COUNTIF($C$32:$C39,AP40)&lt;IF($B$3="Stage 1",MIN($B$6,MAX(1,INT($B$5/$B$11))),IF(AND($B$3="Stage 3",$B$5=20,$B$11&gt;11),1,IF(AND($B$3="Stage 3",OR($B$15="Year 10-11-12 Girls"),$B$5&gt;20),MAX(2,Setup!$B$14),Setup!$B$14)))))</f>
        <v>1</v>
      </c>
      <c r="BR40" s="20" t="b">
        <f>IF(AQ40="",FALSE,AND(AQ40&lt;&gt;IF(AND($B$3="Stage 3",OR($B$15="Year 8 Boys",$B$15="Year 9 Boys",$B$15="Year 10-11 Boys"),$B$8="One Keeper"),$E$4,""),AQ40&lt;&gt;$B40,AQ40&lt;&gt;$C39,IFERROR(INDEX($E$18:$E$30,MATCH(AQ40,$B$18:$B$30,0)),"No")="Yes",COUNTIF($C$32:$C39,AQ40)&lt;$B$6,COUNTIF($C$32:$C39,AQ40)&lt;IF($B$3="Stage 1",MIN($B$6,MAX(1,INT($B$5/$B$11))),IF(AND($B$3="Stage 3",$B$5=20,$B$11&gt;11),1,IF(AND($B$3="Stage 3",OR($B$15="Year 10-11-12 Girls"),$B$5&gt;20),MAX(2,Setup!$B$14),Setup!$B$14)))))</f>
        <v>0</v>
      </c>
      <c r="BS40" s="20" t="b">
        <f>IF(AR40="",FALSE,AND(AR40&lt;&gt;IF(AND($B$3="Stage 3",OR($B$15="Year 8 Boys",$B$15="Year 9 Boys",$B$15="Year 10-11 Boys"),$B$8="One Keeper"),$E$4,""),AR40&lt;&gt;$B40,AR40&lt;&gt;$C39,IFERROR(INDEX($E$18:$E$30,MATCH(AR40,$B$18:$B$30,0)),"No")="Yes",COUNTIF($C$32:$C39,AR40)&lt;$B$6,COUNTIF($C$32:$C39,AR40)&lt;IF($B$3="Stage 1",MIN($B$6,MAX(1,INT($B$5/$B$11))),IF(AND($B$3="Stage 3",$B$5=20,$B$11&gt;11),1,IF(AND($B$3="Stage 3",OR($B$15="Year 10-11-12 Girls"),$B$5&gt;20),MAX(2,Setup!$B$14),Setup!$B$14)))))</f>
        <v>1</v>
      </c>
      <c r="BT40" s="20" t="b">
        <f>IF(AS40="",FALSE,AND(AS40&lt;&gt;IF(AND($B$3="Stage 3",OR($B$15="Year 8 Boys",$B$15="Year 9 Boys",$B$15="Year 10-11 Boys"),$B$8="One Keeper"),$E$4,""),AS40&lt;&gt;$B40,AS40&lt;&gt;$C39,IFERROR(INDEX($E$18:$E$30,MATCH(AS40,$B$18:$B$30,0)),"No")="Yes",COUNTIF($C$32:$C39,AS40)&lt;$B$6,COUNTIF($C$32:$C39,AS40)&lt;IF($B$3="Stage 1",MIN($B$6,MAX(1,INT($B$5/$B$11))),IF(AND($B$3="Stage 3",$B$5=20,$B$11&gt;11),1,IF(AND($B$3="Stage 3",OR($B$15="Year 10-11-12 Girls"),$B$5&gt;20),MAX(2,Setup!$B$14),Setup!$B$14)))))</f>
        <v>1</v>
      </c>
      <c r="BU40" s="20" t="b">
        <f>IF(AT40="",FALSE,AND(AT40&lt;&gt;IF(AND($B$3="Stage 3",OR($B$15="Year 8 Boys",$B$15="Year 9 Boys",$B$15="Year 10-11 Boys"),$B$8="One Keeper"),$E$4,""),AT40&lt;&gt;$B40,AT40&lt;&gt;$C39,IFERROR(INDEX($E$18:$E$30,MATCH(AT40,$B$18:$B$30,0)),"No")="Yes",COUNTIF($C$32:$C39,AT40)&lt;$B$6,COUNTIF($C$32:$C39,AT40)&lt;IF($B$3="Stage 1",MIN($B$6,MAX(1,INT($B$5/$B$11))),IF(AND($B$3="Stage 3",$B$5=20,$B$11&gt;11),1,IF(AND($B$3="Stage 3",OR($B$15="Year 10-11-12 Girls"),$B$5&gt;20),MAX(2,Setup!$B$14),Setup!$B$14)))))</f>
        <v>0</v>
      </c>
      <c r="BV40" s="20" t="b">
        <f>IF(AU40="",FALSE,AND(AU40&lt;&gt;IF(AND($B$3="Stage 3",OR($B$15="Year 8 Boys",$B$15="Year 9 Boys",$B$15="Year 10-11 Boys"),$B$8="One Keeper"),$E$4,""),AU40&lt;&gt;$B40,AU40&lt;&gt;$C39,IFERROR(INDEX($E$18:$E$30,MATCH(AU40,$B$18:$B$30,0)),"No")="Yes",COUNTIF($C$32:$C39,AU40)&lt;$B$6,COUNTIF($C$32:$C39,AU40)&lt;IF($B$3="Stage 1",MIN($B$6,MAX(1,INT($B$5/$B$11))),IF(AND($B$3="Stage 3",$B$5=20,$B$11&gt;11),1,IF(AND($B$3="Stage 3",OR($B$15="Year 10-11-12 Girls"),$B$5&gt;20),MAX(2,Setup!$B$14),Setup!$B$14)))))</f>
        <v>0</v>
      </c>
      <c r="BW40" s="20"/>
      <c r="BX40" s="20"/>
      <c r="BY40" s="20"/>
      <c r="BZ40" s="20"/>
      <c r="CA40" s="20"/>
      <c r="CB40" s="20"/>
      <c r="CC40" s="20"/>
      <c r="CD40" s="20"/>
      <c r="CE40" s="20"/>
      <c r="CF40" s="20"/>
      <c r="CG40" s="20"/>
      <c r="CH40" s="20"/>
      <c r="CI40" s="20"/>
      <c r="CJ40" s="20"/>
      <c r="CK40" s="20"/>
    </row>
    <row r="41" spans="1:89" ht="26.4" customHeight="1">
      <c r="A41" s="18">
        <v>10</v>
      </c>
      <c r="B41" s="18" t="str">
        <f t="shared" si="5"/>
        <v>Player 1</v>
      </c>
      <c r="C41" s="18" t="str">
        <f t="shared" si="6"/>
        <v>Player 6</v>
      </c>
      <c r="D41" s="18">
        <f t="shared" si="7"/>
        <v>4</v>
      </c>
      <c r="E41" s="18">
        <f>IF($C41="","",COUNTIF($C$32:C41,$C41))</f>
        <v>1</v>
      </c>
      <c r="F41" s="18" t="str">
        <f t="shared" si="8"/>
        <v/>
      </c>
      <c r="H41" s="18" t="str">
        <f t="shared" si="9"/>
        <v/>
      </c>
      <c r="I41" s="18" t="str">
        <f t="shared" si="10"/>
        <v/>
      </c>
      <c r="J41" s="18" t="str">
        <f t="shared" si="11"/>
        <v/>
      </c>
      <c r="K41" s="18" t="str">
        <f>IF($H41="","",IF($B$3="Stage 1","",IF($B$10="Finals","Finals",IF($B$3="Stage 2",IF($B$5=20,IF($B$11=11,IF($I41&gt;=1,"OK","Needs 1+"),IF($I41&gt;=2,"OK","Needs 2")),IF($B$5=30,IF($I41&gt;=2,"OK","Needs 2"),IF($I41&gt;=Setup!$B$14,"OK","Below target"))),IF($B$3="Stage 3",IF(OR($B$15="Year 8 Boys",$B$15="Year 9 Boys",$B$15="Year 10-11 Boys"),"Team rule",IF($B$5=20,IF($B$11&gt;10,IF($I41&gt;=1,"OK","Needs 1+"),IF($I41&gt;=2,"OK","Needs 2")),IF($I41&gt;=MAX(2,Setup!$B$14),"OK","Needs "&amp;MAX(2,Setup!$B$14)))),"")))))</f>
        <v/>
      </c>
      <c r="L41" s="18" t="str">
        <f t="shared" si="12"/>
        <v/>
      </c>
      <c r="M41" s="18" t="str">
        <f t="shared" si="13"/>
        <v/>
      </c>
      <c r="N41" s="18" t="str">
        <f t="shared" si="14"/>
        <v/>
      </c>
      <c r="T41" s="20">
        <f t="shared" si="15"/>
        <v>3</v>
      </c>
      <c r="U41" s="20" t="b">
        <f>IF(OR($B$3="Stage 2",AND($B$3="Stage 3",OR($B$15="Year 10-11-12 Girls"))),(IF(AND($P$18&lt;&gt;"",$P$18&lt;&gt;$E$4,COUNTIF($C$32:$C40,$P$18)&gt;=2),1,0)+IF(AND($P$19&lt;&gt;"",$P$19&lt;&gt;$E$4,COUNTIF($C$32:$C40,$P$19)&gt;=2),1,0)+IF(AND($P$20&lt;&gt;"",$P$20&lt;&gt;$E$4,COUNTIF($C$32:$C40,$P$20)&gt;=2),1,0)+IF(AND($P$21&lt;&gt;"",$P$21&lt;&gt;$E$4,COUNTIF($C$32:$C40,$P$21)&gt;=2),1,0)+IF(AND($P$22&lt;&gt;"",$P$22&lt;&gt;$E$4,COUNTIF($C$32:$C40,$P$22)&gt;=2),1,0)+IF(AND($P$23&lt;&gt;"",$P$23&lt;&gt;$E$4,COUNTIF($C$32:$C40,$P$23)&gt;=2),1,0)+IF(AND($P$24&lt;&gt;"",$P$24&lt;&gt;$E$4,COUNTIF($C$32:$C40,$P$24)&gt;=2),1,0)+IF(AND($P$25&lt;&gt;"",$P$25&lt;&gt;$E$4,COUNTIF($C$32:$C40,$P$25)&gt;=2),1,0)+IF(AND($P$26&lt;&gt;"",$P$26&lt;&gt;$E$4,COUNTIF($C$32:$C40,$P$26)&gt;=2),1,0)+IF(AND($P$27&lt;&gt;"",$P$27&lt;&gt;$E$4,COUNTIF($C$32:$C40,$P$27)&gt;=2),1,0)+IF(AND($P$28&lt;&gt;"",$P$28&lt;&gt;$E$4,COUNTIF($C$32:$C40,$P$28)&gt;=2),1,0)+IF(AND($P$29&lt;&gt;"",$P$29&lt;&gt;$E$4,COUNTIF($C$32:$C40,$P$29)&gt;=2),1,0)+IF(AND($P$30&lt;&gt;"",$P$30&lt;&gt;$E$4,COUNTIF($C$32:$C40,$P$30)&gt;=2),1,0))&gt;=MAX(0,$B$11-1),IF(AND($B$3="Stage 3",OR($B$15="Year 8 Boys",$B$15="Year 9 Boys",$B$15="Year 10-11 Boys")),(IF(AND($P$18&lt;&gt;"",COUNTIF($C$32:$C40,$P$18)&gt;=2),1,0)+IF(AND($P$19&lt;&gt;"",COUNTIF($C$32:$C40,$P$19)&gt;=2),1,0)+IF(AND($P$20&lt;&gt;"",COUNTIF($C$32:$C40,$P$20)&gt;=2),1,0)+IF(AND($P$21&lt;&gt;"",COUNTIF($C$32:$C40,$P$21)&gt;=2),1,0)+IF(AND($P$22&lt;&gt;"",COUNTIF($C$32:$C40,$P$22)&gt;=2),1,0)+IF(AND($P$23&lt;&gt;"",COUNTIF($C$32:$C40,$P$23)&gt;=2),1,0)+IF(AND($P$24&lt;&gt;"",COUNTIF($C$32:$C40,$P$24)&gt;=2),1,0)+IF(AND($P$25&lt;&gt;"",COUNTIF($C$32:$C40,$P$25)&gt;=2),1,0)+IF(AND($P$26&lt;&gt;"",COUNTIF($C$32:$C40,$P$26)&gt;=2),1,0)+IF(AND($P$27&lt;&gt;"",COUNTIF($C$32:$C40,$P$27)&gt;=2),1,0)+IF(AND($P$28&lt;&gt;"",COUNTIF($C$32:$C40,$P$28)&gt;=2),1,0)+IF(AND($P$29&lt;&gt;"",COUNTIF($C$32:$C40,$P$29)&gt;=2),1,0)+IF(AND($P$30&lt;&gt;"",COUNTIF($C$32:$C40,$P$30)&gt;=2),1,0))&gt;=7,TRUE))</f>
        <v>1</v>
      </c>
      <c r="V41" s="20">
        <f t="shared" si="16"/>
        <v>3</v>
      </c>
      <c r="W41" s="20">
        <f t="shared" si="16"/>
        <v>4</v>
      </c>
      <c r="X41" s="20">
        <f t="shared" si="16"/>
        <v>5</v>
      </c>
      <c r="Y41" s="20">
        <f t="shared" si="16"/>
        <v>6</v>
      </c>
      <c r="Z41" s="20">
        <f t="shared" si="16"/>
        <v>7</v>
      </c>
      <c r="AA41" s="20">
        <f t="shared" si="16"/>
        <v>1</v>
      </c>
      <c r="AB41" s="20">
        <f t="shared" si="16"/>
        <v>2</v>
      </c>
      <c r="AC41" s="20">
        <f t="shared" si="16"/>
        <v>3</v>
      </c>
      <c r="AD41" s="20">
        <f t="shared" si="16"/>
        <v>4</v>
      </c>
      <c r="AE41" s="20">
        <f t="shared" si="16"/>
        <v>5</v>
      </c>
      <c r="AF41" s="20">
        <f t="shared" si="16"/>
        <v>6</v>
      </c>
      <c r="AG41" s="20">
        <f t="shared" si="16"/>
        <v>7</v>
      </c>
      <c r="AH41" s="20">
        <f t="shared" si="16"/>
        <v>1</v>
      </c>
      <c r="AI41" s="20" t="str">
        <f t="shared" si="17"/>
        <v>Player 5</v>
      </c>
      <c r="AJ41" s="20" t="str">
        <f t="shared" si="18"/>
        <v>Player 6</v>
      </c>
      <c r="AK41" s="20" t="str">
        <f t="shared" si="19"/>
        <v>Player 7</v>
      </c>
      <c r="AL41" s="20" t="str">
        <f t="shared" si="20"/>
        <v>Player 1</v>
      </c>
      <c r="AM41" s="20" t="str">
        <f t="shared" si="21"/>
        <v>Player 2</v>
      </c>
      <c r="AN41" s="20" t="str">
        <f t="shared" si="22"/>
        <v>Player 3</v>
      </c>
      <c r="AO41" s="20" t="str">
        <f t="shared" si="23"/>
        <v>Player 4</v>
      </c>
      <c r="AP41" s="20" t="str">
        <f t="shared" si="24"/>
        <v>Player 5</v>
      </c>
      <c r="AQ41" s="20" t="str">
        <f t="shared" si="25"/>
        <v>Player 6</v>
      </c>
      <c r="AR41" s="20" t="str">
        <f t="shared" si="26"/>
        <v>Player 7</v>
      </c>
      <c r="AS41" s="20" t="str">
        <f t="shared" si="27"/>
        <v>Player 1</v>
      </c>
      <c r="AT41" s="20" t="str">
        <f t="shared" si="28"/>
        <v>Player 2</v>
      </c>
      <c r="AU41" s="20" t="str">
        <f t="shared" si="29"/>
        <v>Player 3</v>
      </c>
      <c r="AV41" s="20" t="b">
        <f>IF(AI41="",FALSE,AND(AI41&lt;&gt;$B41,AI41&lt;&gt;$C40,IFERROR(INDEX($E$18:$E$30,MATCH(AI41,$B$18:$B$30,0)),"No")="Yes",IF(AND(OR($B$3="Stage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Girls"))),$B$5&gt;20),MIN(3,MAX(2,Setup!$B$14)),2))*2),AI41=$E$5,IF(AND(OR($B$3="Stage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Girls"))),$B$5&gt;20),MIN(3,MAX(2,Setup!$B$14)),2))*2-1))),AI41=$E$4,TRUE)),COUNTIF($C$32:$C40,AI41)&lt;$B$6,IF($BI41,COUNTIF($C$32:$C40,AI41)&lt;IF($B$3="Stage 1",MIN($B$6,MAX(1,INT($B$5/$B$11))),IF(AND($B$3="Stage 3",$B$5=20,$B$11&gt;11),1,IF(AND($B$3="Stage 3",OR($B$15="Year 10-11-12 Girls"),$B$5&gt;20),MAX(2,Setup!$B$14),Setup!$B$14))),IF(AND($B$3&lt;&gt;"Stage 2",$B$3&lt;&gt;"Stage 3"),TRUE,IF($U41,TRUE,COUNTIF($C$32:$C40,AI41)&lt;IF(AND($B$3="Stage 2",$B$5=20,AI41=$E$5,$A41&lt;=IF($B$8="One Keeper",$B$5,$B$8)),2,IF(AND(OR($B$3="Stage 2",AND($B$3="Stage 3",OR($B$15="Year 10-11-12 Girls"))),AI41=$E$5,$A41&lt;=IF($B$8="One Keeper",$B$5,$B$8)),3,$B$9)))))))</f>
        <v>0</v>
      </c>
      <c r="AW41" s="20" t="b">
        <f>IF(AJ41="",FALSE,AND(AJ41&lt;&gt;$B41,AJ41&lt;&gt;$C40,IFERROR(INDEX($E$18:$E$30,MATCH(AJ41,$B$18:$B$30,0)),"No")="Yes",IF(AND(OR($B$3="Stage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Girls"))),$B$5&gt;20),MIN(3,MAX(2,Setup!$B$14)),2))*2),AJ41=$E$5,IF(AND(OR($B$3="Stage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Girls"))),$B$5&gt;20),MIN(3,MAX(2,Setup!$B$14)),2))*2-1))),AJ41=$E$4,TRUE)),COUNTIF($C$32:$C40,AJ41)&lt;$B$6,IF($BI41,COUNTIF($C$32:$C40,AJ41)&lt;IF($B$3="Stage 1",MIN($B$6,MAX(1,INT($B$5/$B$11))),IF(AND($B$3="Stage 3",$B$5=20,$B$11&gt;11),1,IF(AND($B$3="Stage 3",OR($B$15="Year 10-11-12 Girls"),$B$5&gt;20),MAX(2,Setup!$B$14),Setup!$B$14))),IF(AND($B$3&lt;&gt;"Stage 2",$B$3&lt;&gt;"Stage 3"),TRUE,IF($U41,TRUE,COUNTIF($C$32:$C40,AJ41)&lt;IF(AND($B$3="Stage 2",$B$5=20,AJ41=$E$5,$A41&lt;=IF($B$8="One Keeper",$B$5,$B$8)),2,IF(AND(OR($B$3="Stage 2",AND($B$3="Stage 3",OR($B$15="Year 10-11-12 Girls"))),AJ41=$E$5,$A41&lt;=IF($B$8="One Keeper",$B$5,$B$8)),3,$B$9)))))))</f>
        <v>1</v>
      </c>
      <c r="AX41" s="20" t="b">
        <f>IF(AK41="",FALSE,AND(AK41&lt;&gt;$B41,AK41&lt;&gt;$C40,IFERROR(INDEX($E$18:$E$30,MATCH(AK41,$B$18:$B$30,0)),"No")="Yes",IF(AND(OR($B$3="Stage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Girls"))),$B$5&gt;20),MIN(3,MAX(2,Setup!$B$14)),2))*2),AK41=$E$5,IF(AND(OR($B$3="Stage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Girls"))),$B$5&gt;20),MIN(3,MAX(2,Setup!$B$14)),2))*2-1))),AK41=$E$4,TRUE)),COUNTIF($C$32:$C40,AK41)&lt;$B$6,IF($BI41,COUNTIF($C$32:$C40,AK41)&lt;IF($B$3="Stage 1",MIN($B$6,MAX(1,INT($B$5/$B$11))),IF(AND($B$3="Stage 3",$B$5=20,$B$11&gt;11),1,IF(AND($B$3="Stage 3",OR($B$15="Year 10-11-12 Girls"),$B$5&gt;20),MAX(2,Setup!$B$14),Setup!$B$14))),IF(AND($B$3&lt;&gt;"Stage 2",$B$3&lt;&gt;"Stage 3"),TRUE,IF($U41,TRUE,COUNTIF($C$32:$C40,AK41)&lt;IF(AND($B$3="Stage 2",$B$5=20,AK41=$E$5,$A41&lt;=IF($B$8="One Keeper",$B$5,$B$8)),2,IF(AND(OR($B$3="Stage 2",AND($B$3="Stage 3",OR($B$15="Year 10-11-12 Girls"))),AK41=$E$5,$A41&lt;=IF($B$8="One Keeper",$B$5,$B$8)),3,$B$9)))))))</f>
        <v>1</v>
      </c>
      <c r="AY41" s="20" t="b">
        <f>IF(AL41="",FALSE,AND(AL41&lt;&gt;$B41,AL41&lt;&gt;$C40,IFERROR(INDEX($E$18:$E$30,MATCH(AL41,$B$18:$B$30,0)),"No")="Yes",IF(AND(OR($B$3="Stage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Girls"))),$B$5&gt;20),MIN(3,MAX(2,Setup!$B$14)),2))*2),AL41=$E$5,IF(AND(OR($B$3="Stage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Girls"))),$B$5&gt;20),MIN(3,MAX(2,Setup!$B$14)),2))*2-1))),AL41=$E$4,TRUE)),COUNTIF($C$32:$C40,AL41)&lt;$B$6,IF($BI41,COUNTIF($C$32:$C40,AL41)&lt;IF($B$3="Stage 1",MIN($B$6,MAX(1,INT($B$5/$B$11))),IF(AND($B$3="Stage 3",$B$5=20,$B$11&gt;11),1,IF(AND($B$3="Stage 3",OR($B$15="Year 10-11-12 Girls"),$B$5&gt;20),MAX(2,Setup!$B$14),Setup!$B$14))),IF(AND($B$3&lt;&gt;"Stage 2",$B$3&lt;&gt;"Stage 3"),TRUE,IF($U41,TRUE,COUNTIF($C$32:$C40,AL41)&lt;IF(AND($B$3="Stage 2",$B$5=20,AL41=$E$5,$A41&lt;=IF($B$8="One Keeper",$B$5,$B$8)),2,IF(AND(OR($B$3="Stage 2",AND($B$3="Stage 3",OR($B$15="Year 10-11-12 Girls"))),AL41=$E$5,$A41&lt;=IF($B$8="One Keeper",$B$5,$B$8)),3,$B$9)))))))</f>
        <v>0</v>
      </c>
      <c r="AZ41" s="20" t="b">
        <f>IF(AM41="",FALSE,AND(AM41&lt;&gt;$B41,AM41&lt;&gt;$C40,IFERROR(INDEX($E$18:$E$30,MATCH(AM41,$B$18:$B$30,0)),"No")="Yes",IF(AND(OR($B$3="Stage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Girls"))),$B$5&gt;20),MIN(3,MAX(2,Setup!$B$14)),2))*2),AM41=$E$5,IF(AND(OR($B$3="Stage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Girls"))),$B$5&gt;20),MIN(3,MAX(2,Setup!$B$14)),2))*2-1))),AM41=$E$4,TRUE)),COUNTIF($C$32:$C40,AM41)&lt;$B$6,IF($BI41,COUNTIF($C$32:$C40,AM41)&lt;IF($B$3="Stage 1",MIN($B$6,MAX(1,INT($B$5/$B$11))),IF(AND($B$3="Stage 3",$B$5=20,$B$11&gt;11),1,IF(AND($B$3="Stage 3",OR($B$15="Year 10-11-12 Girls"),$B$5&gt;20),MAX(2,Setup!$B$14),Setup!$B$14))),IF(AND($B$3&lt;&gt;"Stage 2",$B$3&lt;&gt;"Stage 3"),TRUE,IF($U41,TRUE,COUNTIF($C$32:$C40,AM41)&lt;IF(AND($B$3="Stage 2",$B$5=20,AM41=$E$5,$A41&lt;=IF($B$8="One Keeper",$B$5,$B$8)),2,IF(AND(OR($B$3="Stage 2",AND($B$3="Stage 3",OR($B$15="Year 10-11-12 Girls"))),AM41=$E$5,$A41&lt;=IF($B$8="One Keeper",$B$5,$B$8)),3,$B$9)))))))</f>
        <v>0</v>
      </c>
      <c r="BA41" s="20" t="b">
        <f>IF(AN41="",FALSE,AND(AN41&lt;&gt;$B41,AN41&lt;&gt;$C40,IFERROR(INDEX($E$18:$E$30,MATCH(AN41,$B$18:$B$30,0)),"No")="Yes",IF(AND(OR($B$3="Stage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Girls"))),$B$5&gt;20),MIN(3,MAX(2,Setup!$B$14)),2))*2),AN41=$E$5,IF(AND(OR($B$3="Stage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Girls"))),$B$5&gt;20),MIN(3,MAX(2,Setup!$B$14)),2))*2-1))),AN41=$E$4,TRUE)),COUNTIF($C$32:$C40,AN41)&lt;$B$6,IF($BI41,COUNTIF($C$32:$C40,AN41)&lt;IF($B$3="Stage 1",MIN($B$6,MAX(1,INT($B$5/$B$11))),IF(AND($B$3="Stage 3",$B$5=20,$B$11&gt;11),1,IF(AND($B$3="Stage 3",OR($B$15="Year 10-11-12 Girls"),$B$5&gt;20),MAX(2,Setup!$B$14),Setup!$B$14))),IF(AND($B$3&lt;&gt;"Stage 2",$B$3&lt;&gt;"Stage 3"),TRUE,IF($U41,TRUE,COUNTIF($C$32:$C40,AN41)&lt;IF(AND($B$3="Stage 2",$B$5=20,AN41=$E$5,$A41&lt;=IF($B$8="One Keeper",$B$5,$B$8)),2,IF(AND(OR($B$3="Stage 2",AND($B$3="Stage 3",OR($B$15="Year 10-11-12 Girls"))),AN41=$E$5,$A41&lt;=IF($B$8="One Keeper",$B$5,$B$8)),3,$B$9)))))))</f>
        <v>0</v>
      </c>
      <c r="BB41" s="20" t="b">
        <f>IF(AO41="",FALSE,AND(AO41&lt;&gt;$B41,AO41&lt;&gt;$C40,IFERROR(INDEX($E$18:$E$30,MATCH(AO41,$B$18:$B$30,0)),"No")="Yes",IF(AND(OR($B$3="Stage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Girls"))),$B$5&gt;20),MIN(3,MAX(2,Setup!$B$14)),2))*2),AO41=$E$5,IF(AND(OR($B$3="Stage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Girls"))),$B$5&gt;20),MIN(3,MAX(2,Setup!$B$14)),2))*2-1))),AO41=$E$4,TRUE)),COUNTIF($C$32:$C40,AO41)&lt;$B$6,IF($BI41,COUNTIF($C$32:$C40,AO41)&lt;IF($B$3="Stage 1",MIN($B$6,MAX(1,INT($B$5/$B$11))),IF(AND($B$3="Stage 3",$B$5=20,$B$11&gt;11),1,IF(AND($B$3="Stage 3",OR($B$15="Year 10-11-12 Girls"),$B$5&gt;20),MAX(2,Setup!$B$14),Setup!$B$14))),IF(AND($B$3&lt;&gt;"Stage 2",$B$3&lt;&gt;"Stage 3"),TRUE,IF($U41,TRUE,COUNTIF($C$32:$C40,AO41)&lt;IF(AND($B$3="Stage 2",$B$5=20,AO41=$E$5,$A41&lt;=IF($B$8="One Keeper",$B$5,$B$8)),2,IF(AND(OR($B$3="Stage 2",AND($B$3="Stage 3",OR($B$15="Year 10-11-12 Girls"))),AO41=$E$5,$A41&lt;=IF($B$8="One Keeper",$B$5,$B$8)),3,$B$9)))))))</f>
        <v>0</v>
      </c>
      <c r="BC41" s="20" t="b">
        <f>IF(AP41="",FALSE,AND(AP41&lt;&gt;$B41,AP41&lt;&gt;$C40,IFERROR(INDEX($E$18:$E$30,MATCH(AP41,$B$18:$B$30,0)),"No")="Yes",IF(AND(OR($B$3="Stage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Girls"))),$B$5&gt;20),MIN(3,MAX(2,Setup!$B$14)),2))*2),AP41=$E$5,IF(AND(OR($B$3="Stage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Girls"))),$B$5&gt;20),MIN(3,MAX(2,Setup!$B$14)),2))*2-1))),AP41=$E$4,TRUE)),COUNTIF($C$32:$C40,AP41)&lt;$B$6,IF($BI41,COUNTIF($C$32:$C40,AP41)&lt;IF($B$3="Stage 1",MIN($B$6,MAX(1,INT($B$5/$B$11))),IF(AND($B$3="Stage 3",$B$5=20,$B$11&gt;11),1,IF(AND($B$3="Stage 3",OR($B$15="Year 10-11-12 Girls"),$B$5&gt;20),MAX(2,Setup!$B$14),Setup!$B$14))),IF(AND($B$3&lt;&gt;"Stage 2",$B$3&lt;&gt;"Stage 3"),TRUE,IF($U41,TRUE,COUNTIF($C$32:$C40,AP41)&lt;IF(AND($B$3="Stage 2",$B$5=20,AP41=$E$5,$A41&lt;=IF($B$8="One Keeper",$B$5,$B$8)),2,IF(AND(OR($B$3="Stage 2",AND($B$3="Stage 3",OR($B$15="Year 10-11-12 Girls"))),AP41=$E$5,$A41&lt;=IF($B$8="One Keeper",$B$5,$B$8)),3,$B$9)))))))</f>
        <v>0</v>
      </c>
      <c r="BD41" s="20" t="b">
        <f>IF(AQ41="",FALSE,AND(AQ41&lt;&gt;$B41,AQ41&lt;&gt;$C40,IFERROR(INDEX($E$18:$E$30,MATCH(AQ41,$B$18:$B$30,0)),"No")="Yes",IF(AND(OR($B$3="Stage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Girls"))),$B$5&gt;20),MIN(3,MAX(2,Setup!$B$14)),2))*2),AQ41=$E$5,IF(AND(OR($B$3="Stage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Girls"))),$B$5&gt;20),MIN(3,MAX(2,Setup!$B$14)),2))*2-1))),AQ41=$E$4,TRUE)),COUNTIF($C$32:$C40,AQ41)&lt;$B$6,IF($BI41,COUNTIF($C$32:$C40,AQ41)&lt;IF($B$3="Stage 1",MIN($B$6,MAX(1,INT($B$5/$B$11))),IF(AND($B$3="Stage 3",$B$5=20,$B$11&gt;11),1,IF(AND($B$3="Stage 3",OR($B$15="Year 10-11-12 Girls"),$B$5&gt;20),MAX(2,Setup!$B$14),Setup!$B$14))),IF(AND($B$3&lt;&gt;"Stage 2",$B$3&lt;&gt;"Stage 3"),TRUE,IF($U41,TRUE,COUNTIF($C$32:$C40,AQ41)&lt;IF(AND($B$3="Stage 2",$B$5=20,AQ41=$E$5,$A41&lt;=IF($B$8="One Keeper",$B$5,$B$8)),2,IF(AND(OR($B$3="Stage 2",AND($B$3="Stage 3",OR($B$15="Year 10-11-12 Girls"))),AQ41=$E$5,$A41&lt;=IF($B$8="One Keeper",$B$5,$B$8)),3,$B$9)))))))</f>
        <v>1</v>
      </c>
      <c r="BE41" s="20" t="b">
        <f>IF(AR41="",FALSE,AND(AR41&lt;&gt;$B41,AR41&lt;&gt;$C40,IFERROR(INDEX($E$18:$E$30,MATCH(AR41,$B$18:$B$30,0)),"No")="Yes",IF(AND(OR($B$3="Stage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Girls"))),$B$5&gt;20),MIN(3,MAX(2,Setup!$B$14)),2))*2),AR41=$E$5,IF(AND(OR($B$3="Stage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Girls"))),$B$5&gt;20),MIN(3,MAX(2,Setup!$B$14)),2))*2-1))),AR41=$E$4,TRUE)),COUNTIF($C$32:$C40,AR41)&lt;$B$6,IF($BI41,COUNTIF($C$32:$C40,AR41)&lt;IF($B$3="Stage 1",MIN($B$6,MAX(1,INT($B$5/$B$11))),IF(AND($B$3="Stage 3",$B$5=20,$B$11&gt;11),1,IF(AND($B$3="Stage 3",OR($B$15="Year 10-11-12 Girls"),$B$5&gt;20),MAX(2,Setup!$B$14),Setup!$B$14))),IF(AND($B$3&lt;&gt;"Stage 2",$B$3&lt;&gt;"Stage 3"),TRUE,IF($U41,TRUE,COUNTIF($C$32:$C40,AR41)&lt;IF(AND($B$3="Stage 2",$B$5=20,AR41=$E$5,$A41&lt;=IF($B$8="One Keeper",$B$5,$B$8)),2,IF(AND(OR($B$3="Stage 2",AND($B$3="Stage 3",OR($B$15="Year 10-11-12 Girls"))),AR41=$E$5,$A41&lt;=IF($B$8="One Keeper",$B$5,$B$8)),3,$B$9)))))))</f>
        <v>1</v>
      </c>
      <c r="BF41" s="20" t="b">
        <f>IF(AS41="",FALSE,AND(AS41&lt;&gt;$B41,AS41&lt;&gt;$C40,IFERROR(INDEX($E$18:$E$30,MATCH(AS41,$B$18:$B$30,0)),"No")="Yes",IF(AND(OR($B$3="Stage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Girls"))),$B$5&gt;20),MIN(3,MAX(2,Setup!$B$14)),2))*2),AS41=$E$5,IF(AND(OR($B$3="Stage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Girls"))),$B$5&gt;20),MIN(3,MAX(2,Setup!$B$14)),2))*2-1))),AS41=$E$4,TRUE)),COUNTIF($C$32:$C40,AS41)&lt;$B$6,IF($BI41,COUNTIF($C$32:$C40,AS41)&lt;IF($B$3="Stage 1",MIN($B$6,MAX(1,INT($B$5/$B$11))),IF(AND($B$3="Stage 3",$B$5=20,$B$11&gt;11),1,IF(AND($B$3="Stage 3",OR($B$15="Year 10-11-12 Girls"),$B$5&gt;20),MAX(2,Setup!$B$14),Setup!$B$14))),IF(AND($B$3&lt;&gt;"Stage 2",$B$3&lt;&gt;"Stage 3"),TRUE,IF($U41,TRUE,COUNTIF($C$32:$C40,AS41)&lt;IF(AND($B$3="Stage 2",$B$5=20,AS41=$E$5,$A41&lt;=IF($B$8="One Keeper",$B$5,$B$8)),2,IF(AND(OR($B$3="Stage 2",AND($B$3="Stage 3",OR($B$15="Year 10-11-12 Girls"))),AS41=$E$5,$A41&lt;=IF($B$8="One Keeper",$B$5,$B$8)),3,$B$9)))))))</f>
        <v>0</v>
      </c>
      <c r="BG41" s="20" t="b">
        <f>IF(AT41="",FALSE,AND(AT41&lt;&gt;$B41,AT41&lt;&gt;$C40,IFERROR(INDEX($E$18:$E$30,MATCH(AT41,$B$18:$B$30,0)),"No")="Yes",IF(AND(OR($B$3="Stage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Girls"))),$B$5&gt;20),MIN(3,MAX(2,Setup!$B$14)),2))*2),AT41=$E$5,IF(AND(OR($B$3="Stage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Girls"))),$B$5&gt;20),MIN(3,MAX(2,Setup!$B$14)),2))*2-1))),AT41=$E$4,TRUE)),COUNTIF($C$32:$C40,AT41)&lt;$B$6,IF($BI41,COUNTIF($C$32:$C40,AT41)&lt;IF($B$3="Stage 1",MIN($B$6,MAX(1,INT($B$5/$B$11))),IF(AND($B$3="Stage 3",$B$5=20,$B$11&gt;11),1,IF(AND($B$3="Stage 3",OR($B$15="Year 10-11-12 Girls"),$B$5&gt;20),MAX(2,Setup!$B$14),Setup!$B$14))),IF(AND($B$3&lt;&gt;"Stage 2",$B$3&lt;&gt;"Stage 3"),TRUE,IF($U41,TRUE,COUNTIF($C$32:$C40,AT41)&lt;IF(AND($B$3="Stage 2",$B$5=20,AT41=$E$5,$A41&lt;=IF($B$8="One Keeper",$B$5,$B$8)),2,IF(AND(OR($B$3="Stage 2",AND($B$3="Stage 3",OR($B$15="Year 10-11-12 Girls"))),AT41=$E$5,$A41&lt;=IF($B$8="One Keeper",$B$5,$B$8)),3,$B$9)))))))</f>
        <v>0</v>
      </c>
      <c r="BH41" s="20" t="b">
        <f>IF(AU41="",FALSE,AND(AU41&lt;&gt;$B41,AU41&lt;&gt;$C40,IFERROR(INDEX($E$18:$E$30,MATCH(AU41,$B$18:$B$30,0)),"No")="Yes",IF(AND(OR($B$3="Stage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Girls"))),$B$5&gt;20),MIN(3,MAX(2,Setup!$B$14)),2))*2),AU41=$E$5,IF(AND(OR($B$3="Stage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Girls"))),$B$5&gt;20),MIN(3,MAX(2,Setup!$B$14)),2))*2-1))),AU41=$E$4,TRUE)),COUNTIF($C$32:$C40,AU41)&lt;$B$6,IF($BI41,COUNTIF($C$32:$C40,AU41)&lt;IF($B$3="Stage 1",MIN($B$6,MAX(1,INT($B$5/$B$11))),IF(AND($B$3="Stage 3",$B$5=20,$B$11&gt;11),1,IF(AND($B$3="Stage 3",OR($B$15="Year 10-11-12 Girls"),$B$5&gt;20),MAX(2,Setup!$B$14),Setup!$B$14))),IF(AND($B$3&lt;&gt;"Stage 2",$B$3&lt;&gt;"Stage 3"),TRUE,IF($U41,TRUE,COUNTIF($C$32:$C40,AU41)&lt;IF(AND($B$3="Stage 2",$B$5=20,AU41=$E$5,$A41&lt;=IF($B$8="One Keeper",$B$5,$B$8)),2,IF(AND(OR($B$3="Stage 2",AND($B$3="Stage 3",OR($B$15="Year 10-11-12 Girls"))),AU41=$E$5,$A41&lt;=IF($B$8="One Keeper",$B$5,$B$8)),3,$B$9)))))))</f>
        <v>0</v>
      </c>
      <c r="BI41"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Keeper",$E$4&lt;&gt;$E$5,$A41&lt;=IF($B$8="One Keeper",$B$5,$B$8),COUNTIF($C$32:$C40,$E$5)&lt;IF(AND($B$3="Stage 3",$B$5=20,$B$11&gt;11),1,IF(AND(OR($B$3="Stage 2",AND($B$3="Stage 3",OR($B$15="Year 10-11-12 Girls"))),$B$5&gt;20),MIN(3,MAX(2,Setup!$B$14)),2)),IFERROR(INDEX($E$18:$E$30,MATCH($E$5,$B$18:$B$30,0)),"No")="Yes",$C40&lt;&gt;$E$5,MOD($A41,2)=0,$A41&lt;=IF(AND($B$3="Stage 3",$B$5=20,$B$11&gt;11),1,IF(AND(OR($B$3="Stage 2",AND($B$3="Stage 3",OR($B$15="Year 10-11-12 Girls"))),$B$5&gt;20),MIN(3,MAX(2,Setup!$B$14)),2))*2),AND(OR($B$3="Stage 1",$B$3="Stage 2",AND($B$3="Stage 3",OR(OR($B$15="Year 10-11-12 Girls"),OR($B$15="Year 8 Boys",$B$15="Year 9 Boys",$B$15="Year 10-11 Boys")))),$B$8&lt;&gt;"One Keeper",$E$4&lt;&gt;$E$5,$A41&gt;IF($B$8="One Keeper",$B$5,$B$8),COUNTIF($C$32:$C40,$E$4)&lt;IF(AND($B$3="Stage 3",$B$5=20,$B$11&gt;11),1,IF(AND(OR($B$3="Stage 2",AND($B$3="Stage 3",OR($B$15="Year 10-11-12 Girls"))),$B$5&gt;20),MIN(3,MAX(2,Setup!$B$14)),2)),IFERROR(INDEX($E$18:$E$30,MATCH($E$4,$B$18:$B$30,0)),"No")="Yes",$C40&lt;&gt;$E$4,IF($B$7="Three-over spell",AND(MOD($A41-IF($B$8="One Keeper",$B$5,$B$8)-1,3)=0,($A41-IF($B$8="One Keeper",$B$5,$B$8))&lt;=1+(IF(AND($B$3="Stage 3",$B$5=20,$B$11&gt;11),1,IF(AND(OR($B$3="Stage 2",AND($B$3="Stage 3",OR($B$15="Year 10-11-12 Girls"))),$B$5&gt;20),MIN(3,MAX(2,Setup!$B$14)),2))-1)*3),AND(MOD($A41-IF($B$8="One Keeper",$B$5,$B$8),2)=1,($A41-IF($B$8="One Keeper",$B$5,$B$8))&lt;=IF(AND($B$3="Stage 3",$B$5=20,$B$11&gt;11),1,IF(AND(OR($B$3="Stage 2",AND($B$3="Stage 3",OR($B$15="Year 10-11-12 Girls"))),$B$5&gt;20),MIN(3,MAX(2,Setup!$B$14)),2))*2-1))))),OR($U41,AND($B$3="Stage 3",$B$5=20,$B$11&gt;11)),OR($BJ41,$BK41,$BL41,$BM41,$BN41,$BO41,$BP41,$BQ41,$BR41,$BS41,$BT41,$BU41,$BV41))</f>
        <v>1</v>
      </c>
      <c r="BJ41" s="20" t="b">
        <f>IF(AI41="",FALSE,AND(AI41&lt;&gt;IF(AND($B$3="Stage 3",OR($B$15="Year 8 Boys",$B$15="Year 9 Boys",$B$15="Year 10-11 Boys"),$B$8="One Keeper"),$E$4,""),AI41&lt;&gt;$B41,AI41&lt;&gt;$C40,IFERROR(INDEX($E$18:$E$30,MATCH(AI41,$B$18:$B$30,0)),"No")="Yes",COUNTIF($C$32:$C40,AI41)&lt;$B$6,COUNTIF($C$32:$C40,AI41)&lt;IF($B$3="Stage 1",MIN($B$6,MAX(1,INT($B$5/$B$11))),IF(AND($B$3="Stage 3",$B$5=20,$B$11&gt;11),1,IF(AND($B$3="Stage 3",OR($B$15="Year 10-11-12 Girls"),$B$5&gt;20),MAX(2,Setup!$B$14),Setup!$B$14)))))</f>
        <v>0</v>
      </c>
      <c r="BK41" s="20" t="b">
        <f>IF(AJ41="",FALSE,AND(AJ41&lt;&gt;IF(AND($B$3="Stage 3",OR($B$15="Year 8 Boys",$B$15="Year 9 Boys",$B$15="Year 10-11 Boys"),$B$8="One Keeper"),$E$4,""),AJ41&lt;&gt;$B41,AJ41&lt;&gt;$C40,IFERROR(INDEX($E$18:$E$30,MATCH(AJ41,$B$18:$B$30,0)),"No")="Yes",COUNTIF($C$32:$C40,AJ41)&lt;$B$6,COUNTIF($C$32:$C40,AJ41)&lt;IF($B$3="Stage 1",MIN($B$6,MAX(1,INT($B$5/$B$11))),IF(AND($B$3="Stage 3",$B$5=20,$B$11&gt;11),1,IF(AND($B$3="Stage 3",OR($B$15="Year 10-11-12 Girls"),$B$5&gt;20),MAX(2,Setup!$B$14),Setup!$B$14)))))</f>
        <v>1</v>
      </c>
      <c r="BL41" s="20" t="b">
        <f>IF(AK41="",FALSE,AND(AK41&lt;&gt;IF(AND($B$3="Stage 3",OR($B$15="Year 8 Boys",$B$15="Year 9 Boys",$B$15="Year 10-11 Boys"),$B$8="One Keeper"),$E$4,""),AK41&lt;&gt;$B41,AK41&lt;&gt;$C40,IFERROR(INDEX($E$18:$E$30,MATCH(AK41,$B$18:$B$30,0)),"No")="Yes",COUNTIF($C$32:$C40,AK41)&lt;$B$6,COUNTIF($C$32:$C40,AK41)&lt;IF($B$3="Stage 1",MIN($B$6,MAX(1,INT($B$5/$B$11))),IF(AND($B$3="Stage 3",$B$5=20,$B$11&gt;11),1,IF(AND($B$3="Stage 3",OR($B$15="Year 10-11-12 Girls"),$B$5&gt;20),MAX(2,Setup!$B$14),Setup!$B$14)))))</f>
        <v>1</v>
      </c>
      <c r="BM41" s="20" t="b">
        <f>IF(AL41="",FALSE,AND(AL41&lt;&gt;IF(AND($B$3="Stage 3",OR($B$15="Year 8 Boys",$B$15="Year 9 Boys",$B$15="Year 10-11 Boys"),$B$8="One Keeper"),$E$4,""),AL41&lt;&gt;$B41,AL41&lt;&gt;$C40,IFERROR(INDEX($E$18:$E$30,MATCH(AL41,$B$18:$B$30,0)),"No")="Yes",COUNTIF($C$32:$C40,AL41)&lt;$B$6,COUNTIF($C$32:$C40,AL41)&lt;IF($B$3="Stage 1",MIN($B$6,MAX(1,INT($B$5/$B$11))),IF(AND($B$3="Stage 3",$B$5=20,$B$11&gt;11),1,IF(AND($B$3="Stage 3",OR($B$15="Year 10-11-12 Girls"),$B$5&gt;20),MAX(2,Setup!$B$14),Setup!$B$14)))))</f>
        <v>0</v>
      </c>
      <c r="BN41" s="20" t="b">
        <f>IF(AM41="",FALSE,AND(AM41&lt;&gt;IF(AND($B$3="Stage 3",OR($B$15="Year 8 Boys",$B$15="Year 9 Boys",$B$15="Year 10-11 Boys"),$B$8="One Keeper"),$E$4,""),AM41&lt;&gt;$B41,AM41&lt;&gt;$C40,IFERROR(INDEX($E$18:$E$30,MATCH(AM41,$B$18:$B$30,0)),"No")="Yes",COUNTIF($C$32:$C40,AM41)&lt;$B$6,COUNTIF($C$32:$C40,AM41)&lt;IF($B$3="Stage 1",MIN($B$6,MAX(1,INT($B$5/$B$11))),IF(AND($B$3="Stage 3",$B$5=20,$B$11&gt;11),1,IF(AND($B$3="Stage 3",OR($B$15="Year 10-11-12 Girls"),$B$5&gt;20),MAX(2,Setup!$B$14),Setup!$B$14)))))</f>
        <v>0</v>
      </c>
      <c r="BO41" s="20" t="b">
        <f>IF(AN41="",FALSE,AND(AN41&lt;&gt;IF(AND($B$3="Stage 3",OR($B$15="Year 8 Boys",$B$15="Year 9 Boys",$B$15="Year 10-11 Boys"),$B$8="One Keeper"),$E$4,""),AN41&lt;&gt;$B41,AN41&lt;&gt;$C40,IFERROR(INDEX($E$18:$E$30,MATCH(AN41,$B$18:$B$30,0)),"No")="Yes",COUNTIF($C$32:$C40,AN41)&lt;$B$6,COUNTIF($C$32:$C40,AN41)&lt;IF($B$3="Stage 1",MIN($B$6,MAX(1,INT($B$5/$B$11))),IF(AND($B$3="Stage 3",$B$5=20,$B$11&gt;11),1,IF(AND($B$3="Stage 3",OR($B$15="Year 10-11-12 Girls"),$B$5&gt;20),MAX(2,Setup!$B$14),Setup!$B$14)))))</f>
        <v>0</v>
      </c>
      <c r="BP41" s="20" t="b">
        <f>IF(AO41="",FALSE,AND(AO41&lt;&gt;IF(AND($B$3="Stage 3",OR($B$15="Year 8 Boys",$B$15="Year 9 Boys",$B$15="Year 10-11 Boys"),$B$8="One Keeper"),$E$4,""),AO41&lt;&gt;$B41,AO41&lt;&gt;$C40,IFERROR(INDEX($E$18:$E$30,MATCH(AO41,$B$18:$B$30,0)),"No")="Yes",COUNTIF($C$32:$C40,AO41)&lt;$B$6,COUNTIF($C$32:$C40,AO41)&lt;IF($B$3="Stage 1",MIN($B$6,MAX(1,INT($B$5/$B$11))),IF(AND($B$3="Stage 3",$B$5=20,$B$11&gt;11),1,IF(AND($B$3="Stage 3",OR($B$15="Year 10-11-12 Girls"),$B$5&gt;20),MAX(2,Setup!$B$14),Setup!$B$14)))))</f>
        <v>0</v>
      </c>
      <c r="BQ41" s="20" t="b">
        <f>IF(AP41="",FALSE,AND(AP41&lt;&gt;IF(AND($B$3="Stage 3",OR($B$15="Year 8 Boys",$B$15="Year 9 Boys",$B$15="Year 10-11 Boys"),$B$8="One Keeper"),$E$4,""),AP41&lt;&gt;$B41,AP41&lt;&gt;$C40,IFERROR(INDEX($E$18:$E$30,MATCH(AP41,$B$18:$B$30,0)),"No")="Yes",COUNTIF($C$32:$C40,AP41)&lt;$B$6,COUNTIF($C$32:$C40,AP41)&lt;IF($B$3="Stage 1",MIN($B$6,MAX(1,INT($B$5/$B$11))),IF(AND($B$3="Stage 3",$B$5=20,$B$11&gt;11),1,IF(AND($B$3="Stage 3",OR($B$15="Year 10-11-12 Girls"),$B$5&gt;20),MAX(2,Setup!$B$14),Setup!$B$14)))))</f>
        <v>0</v>
      </c>
      <c r="BR41" s="20" t="b">
        <f>IF(AQ41="",FALSE,AND(AQ41&lt;&gt;IF(AND($B$3="Stage 3",OR($B$15="Year 8 Boys",$B$15="Year 9 Boys",$B$15="Year 10-11 Boys"),$B$8="One Keeper"),$E$4,""),AQ41&lt;&gt;$B41,AQ41&lt;&gt;$C40,IFERROR(INDEX($E$18:$E$30,MATCH(AQ41,$B$18:$B$30,0)),"No")="Yes",COUNTIF($C$32:$C40,AQ41)&lt;$B$6,COUNTIF($C$32:$C40,AQ41)&lt;IF($B$3="Stage 1",MIN($B$6,MAX(1,INT($B$5/$B$11))),IF(AND($B$3="Stage 3",$B$5=20,$B$11&gt;11),1,IF(AND($B$3="Stage 3",OR($B$15="Year 10-11-12 Girls"),$B$5&gt;20),MAX(2,Setup!$B$14),Setup!$B$14)))))</f>
        <v>1</v>
      </c>
      <c r="BS41" s="20" t="b">
        <f>IF(AR41="",FALSE,AND(AR41&lt;&gt;IF(AND($B$3="Stage 3",OR($B$15="Year 8 Boys",$B$15="Year 9 Boys",$B$15="Year 10-11 Boys"),$B$8="One Keeper"),$E$4,""),AR41&lt;&gt;$B41,AR41&lt;&gt;$C40,IFERROR(INDEX($E$18:$E$30,MATCH(AR41,$B$18:$B$30,0)),"No")="Yes",COUNTIF($C$32:$C40,AR41)&lt;$B$6,COUNTIF($C$32:$C40,AR41)&lt;IF($B$3="Stage 1",MIN($B$6,MAX(1,INT($B$5/$B$11))),IF(AND($B$3="Stage 3",$B$5=20,$B$11&gt;11),1,IF(AND($B$3="Stage 3",OR($B$15="Year 10-11-12 Girls"),$B$5&gt;20),MAX(2,Setup!$B$14),Setup!$B$14)))))</f>
        <v>1</v>
      </c>
      <c r="BT41" s="20" t="b">
        <f>IF(AS41="",FALSE,AND(AS41&lt;&gt;IF(AND($B$3="Stage 3",OR($B$15="Year 8 Boys",$B$15="Year 9 Boys",$B$15="Year 10-11 Boys"),$B$8="One Keeper"),$E$4,""),AS41&lt;&gt;$B41,AS41&lt;&gt;$C40,IFERROR(INDEX($E$18:$E$30,MATCH(AS41,$B$18:$B$30,0)),"No")="Yes",COUNTIF($C$32:$C40,AS41)&lt;$B$6,COUNTIF($C$32:$C40,AS41)&lt;IF($B$3="Stage 1",MIN($B$6,MAX(1,INT($B$5/$B$11))),IF(AND($B$3="Stage 3",$B$5=20,$B$11&gt;11),1,IF(AND($B$3="Stage 3",OR($B$15="Year 10-11-12 Girls"),$B$5&gt;20),MAX(2,Setup!$B$14),Setup!$B$14)))))</f>
        <v>0</v>
      </c>
      <c r="BU41" s="20" t="b">
        <f>IF(AT41="",FALSE,AND(AT41&lt;&gt;IF(AND($B$3="Stage 3",OR($B$15="Year 8 Boys",$B$15="Year 9 Boys",$B$15="Year 10-11 Boys"),$B$8="One Keeper"),$E$4,""),AT41&lt;&gt;$B41,AT41&lt;&gt;$C40,IFERROR(INDEX($E$18:$E$30,MATCH(AT41,$B$18:$B$30,0)),"No")="Yes",COUNTIF($C$32:$C40,AT41)&lt;$B$6,COUNTIF($C$32:$C40,AT41)&lt;IF($B$3="Stage 1",MIN($B$6,MAX(1,INT($B$5/$B$11))),IF(AND($B$3="Stage 3",$B$5=20,$B$11&gt;11),1,IF(AND($B$3="Stage 3",OR($B$15="Year 10-11-12 Girls"),$B$5&gt;20),MAX(2,Setup!$B$14),Setup!$B$14)))))</f>
        <v>0</v>
      </c>
      <c r="BV41" s="20" t="b">
        <f>IF(AU41="",FALSE,AND(AU41&lt;&gt;IF(AND($B$3="Stage 3",OR($B$15="Year 8 Boys",$B$15="Year 9 Boys",$B$15="Year 10-11 Boys"),$B$8="One Keeper"),$E$4,""),AU41&lt;&gt;$B41,AU41&lt;&gt;$C40,IFERROR(INDEX($E$18:$E$30,MATCH(AU41,$B$18:$B$30,0)),"No")="Yes",COUNTIF($C$32:$C40,AU41)&lt;$B$6,COUNTIF($C$32:$C40,AU41)&lt;IF($B$3="Stage 1",MIN($B$6,MAX(1,INT($B$5/$B$11))),IF(AND($B$3="Stage 3",$B$5=20,$B$11&gt;11),1,IF(AND($B$3="Stage 3",OR($B$15="Year 10-11-12 Girls"),$B$5&gt;20),MAX(2,Setup!$B$14),Setup!$B$14)))))</f>
        <v>0</v>
      </c>
      <c r="BW41" s="20"/>
      <c r="BX41" s="20"/>
      <c r="BY41" s="20"/>
      <c r="BZ41" s="20"/>
      <c r="CA41" s="20"/>
      <c r="CB41" s="20"/>
      <c r="CC41" s="20"/>
      <c r="CD41" s="20"/>
      <c r="CE41" s="20"/>
      <c r="CF41" s="20"/>
      <c r="CG41" s="20"/>
      <c r="CH41" s="20"/>
      <c r="CI41" s="20"/>
      <c r="CJ41" s="20"/>
      <c r="CK41" s="20"/>
    </row>
    <row r="42" spans="1:89" ht="26.4" customHeight="1">
      <c r="A42" s="18">
        <v>11</v>
      </c>
      <c r="B42" s="18" t="str">
        <f t="shared" si="5"/>
        <v>Player 2</v>
      </c>
      <c r="C42" s="18" t="str">
        <f t="shared" si="6"/>
        <v>Player 1</v>
      </c>
      <c r="D42" s="18">
        <f t="shared" si="7"/>
        <v>6</v>
      </c>
      <c r="E42" s="18">
        <f>IF($C42="","",COUNTIF($C$32:C42,$C42))</f>
        <v>1</v>
      </c>
      <c r="F42" s="18" t="str">
        <f t="shared" si="8"/>
        <v/>
      </c>
      <c r="H42" s="18" t="str">
        <f t="shared" si="9"/>
        <v/>
      </c>
      <c r="I42" s="18" t="str">
        <f t="shared" si="10"/>
        <v/>
      </c>
      <c r="J42" s="18" t="str">
        <f t="shared" si="11"/>
        <v/>
      </c>
      <c r="K42" s="18" t="str">
        <f>IF($H42="","",IF($B$3="Stage 1","",IF($B$10="Finals","Finals",IF($B$3="Stage 2",IF($B$5=20,IF($B$11=11,IF($I42&gt;=1,"OK","Needs 1+"),IF($I42&gt;=2,"OK","Needs 2")),IF($B$5=30,IF($I42&gt;=2,"OK","Needs 2"),IF($I42&gt;=Setup!$B$14,"OK","Below target"))),IF($B$3="Stage 3",IF(OR($B$15="Year 8 Boys",$B$15="Year 9 Boys",$B$15="Year 10-11 Boys"),"Team rule",IF($B$5=20,IF($B$11&gt;10,IF($I42&gt;=1,"OK","Needs 1+"),IF($I42&gt;=2,"OK","Needs 2")),IF($I42&gt;=MAX(2,Setup!$B$14),"OK","Needs "&amp;MAX(2,Setup!$B$14)))),"")))))</f>
        <v/>
      </c>
      <c r="L42" s="18" t="str">
        <f t="shared" si="12"/>
        <v/>
      </c>
      <c r="M42" s="18" t="str">
        <f t="shared" si="13"/>
        <v/>
      </c>
      <c r="N42" s="18" t="str">
        <f t="shared" si="14"/>
        <v/>
      </c>
      <c r="T42" s="20">
        <f t="shared" si="15"/>
        <v>4</v>
      </c>
      <c r="U42" s="20" t="b">
        <f>IF(OR($B$3="Stage 2",AND($B$3="Stage 3",OR($B$15="Year 10-11-12 Girls"))),(IF(AND($P$18&lt;&gt;"",$P$18&lt;&gt;$E$4,COUNTIF($C$32:$C41,$P$18)&gt;=2),1,0)+IF(AND($P$19&lt;&gt;"",$P$19&lt;&gt;$E$4,COUNTIF($C$32:$C41,$P$19)&gt;=2),1,0)+IF(AND($P$20&lt;&gt;"",$P$20&lt;&gt;$E$4,COUNTIF($C$32:$C41,$P$20)&gt;=2),1,0)+IF(AND($P$21&lt;&gt;"",$P$21&lt;&gt;$E$4,COUNTIF($C$32:$C41,$P$21)&gt;=2),1,0)+IF(AND($P$22&lt;&gt;"",$P$22&lt;&gt;$E$4,COUNTIF($C$32:$C41,$P$22)&gt;=2),1,0)+IF(AND($P$23&lt;&gt;"",$P$23&lt;&gt;$E$4,COUNTIF($C$32:$C41,$P$23)&gt;=2),1,0)+IF(AND($P$24&lt;&gt;"",$P$24&lt;&gt;$E$4,COUNTIF($C$32:$C41,$P$24)&gt;=2),1,0)+IF(AND($P$25&lt;&gt;"",$P$25&lt;&gt;$E$4,COUNTIF($C$32:$C41,$P$25)&gt;=2),1,0)+IF(AND($P$26&lt;&gt;"",$P$26&lt;&gt;$E$4,COUNTIF($C$32:$C41,$P$26)&gt;=2),1,0)+IF(AND($P$27&lt;&gt;"",$P$27&lt;&gt;$E$4,COUNTIF($C$32:$C41,$P$27)&gt;=2),1,0)+IF(AND($P$28&lt;&gt;"",$P$28&lt;&gt;$E$4,COUNTIF($C$32:$C41,$P$28)&gt;=2),1,0)+IF(AND($P$29&lt;&gt;"",$P$29&lt;&gt;$E$4,COUNTIF($C$32:$C41,$P$29)&gt;=2),1,0)+IF(AND($P$30&lt;&gt;"",$P$30&lt;&gt;$E$4,COUNTIF($C$32:$C41,$P$30)&gt;=2),1,0))&gt;=MAX(0,$B$11-1),IF(AND($B$3="Stage 3",OR($B$15="Year 8 Boys",$B$15="Year 9 Boys",$B$15="Year 10-11 Boys")),(IF(AND($P$18&lt;&gt;"",COUNTIF($C$32:$C41,$P$18)&gt;=2),1,0)+IF(AND($P$19&lt;&gt;"",COUNTIF($C$32:$C41,$P$19)&gt;=2),1,0)+IF(AND($P$20&lt;&gt;"",COUNTIF($C$32:$C41,$P$20)&gt;=2),1,0)+IF(AND($P$21&lt;&gt;"",COUNTIF($C$32:$C41,$P$21)&gt;=2),1,0)+IF(AND($P$22&lt;&gt;"",COUNTIF($C$32:$C41,$P$22)&gt;=2),1,0)+IF(AND($P$23&lt;&gt;"",COUNTIF($C$32:$C41,$P$23)&gt;=2),1,0)+IF(AND($P$24&lt;&gt;"",COUNTIF($C$32:$C41,$P$24)&gt;=2),1,0)+IF(AND($P$25&lt;&gt;"",COUNTIF($C$32:$C41,$P$25)&gt;=2),1,0)+IF(AND($P$26&lt;&gt;"",COUNTIF($C$32:$C41,$P$26)&gt;=2),1,0)+IF(AND($P$27&lt;&gt;"",COUNTIF($C$32:$C41,$P$27)&gt;=2),1,0)+IF(AND($P$28&lt;&gt;"",COUNTIF($C$32:$C41,$P$28)&gt;=2),1,0)+IF(AND($P$29&lt;&gt;"",COUNTIF($C$32:$C41,$P$29)&gt;=2),1,0)+IF(AND($P$30&lt;&gt;"",COUNTIF($C$32:$C41,$P$30)&gt;=2),1,0))&gt;=7,TRUE))</f>
        <v>1</v>
      </c>
      <c r="V42" s="20">
        <f t="shared" ref="V42:AH51" si="30">IF($A42&gt;$B$5,"",MOD($T42+V$30-2,$B$11)+1)</f>
        <v>4</v>
      </c>
      <c r="W42" s="20">
        <f t="shared" si="30"/>
        <v>5</v>
      </c>
      <c r="X42" s="20">
        <f t="shared" si="30"/>
        <v>6</v>
      </c>
      <c r="Y42" s="20">
        <f t="shared" si="30"/>
        <v>7</v>
      </c>
      <c r="Z42" s="20">
        <f t="shared" si="30"/>
        <v>1</v>
      </c>
      <c r="AA42" s="20">
        <f t="shared" si="30"/>
        <v>2</v>
      </c>
      <c r="AB42" s="20">
        <f t="shared" si="30"/>
        <v>3</v>
      </c>
      <c r="AC42" s="20">
        <f t="shared" si="30"/>
        <v>4</v>
      </c>
      <c r="AD42" s="20">
        <f t="shared" si="30"/>
        <v>5</v>
      </c>
      <c r="AE42" s="20">
        <f t="shared" si="30"/>
        <v>6</v>
      </c>
      <c r="AF42" s="20">
        <f t="shared" si="30"/>
        <v>7</v>
      </c>
      <c r="AG42" s="20">
        <f t="shared" si="30"/>
        <v>1</v>
      </c>
      <c r="AH42" s="20">
        <f t="shared" si="30"/>
        <v>2</v>
      </c>
      <c r="AI42" s="20" t="str">
        <f t="shared" si="17"/>
        <v>Player 6</v>
      </c>
      <c r="AJ42" s="20" t="str">
        <f t="shared" si="18"/>
        <v>Player 7</v>
      </c>
      <c r="AK42" s="20" t="str">
        <f t="shared" si="19"/>
        <v>Player 1</v>
      </c>
      <c r="AL42" s="20" t="str">
        <f t="shared" si="20"/>
        <v>Player 2</v>
      </c>
      <c r="AM42" s="20" t="str">
        <f t="shared" si="21"/>
        <v>Player 3</v>
      </c>
      <c r="AN42" s="20" t="str">
        <f t="shared" si="22"/>
        <v>Player 4</v>
      </c>
      <c r="AO42" s="20" t="str">
        <f t="shared" si="23"/>
        <v>Player 5</v>
      </c>
      <c r="AP42" s="20" t="str">
        <f t="shared" si="24"/>
        <v>Player 6</v>
      </c>
      <c r="AQ42" s="20" t="str">
        <f t="shared" si="25"/>
        <v>Player 7</v>
      </c>
      <c r="AR42" s="20" t="str">
        <f t="shared" si="26"/>
        <v>Player 1</v>
      </c>
      <c r="AS42" s="20" t="str">
        <f t="shared" si="27"/>
        <v>Player 2</v>
      </c>
      <c r="AT42" s="20" t="str">
        <f t="shared" si="28"/>
        <v>Player 3</v>
      </c>
      <c r="AU42" s="20" t="str">
        <f t="shared" si="29"/>
        <v>Player 4</v>
      </c>
      <c r="AV42" s="20" t="b">
        <f>IF(AI42="",FALSE,AND(AI42&lt;&gt;$B42,AI42&lt;&gt;$C41,IFERROR(INDEX($E$18:$E$30,MATCH(AI42,$B$18:$B$30,0)),"No")="Yes",IF(AND(OR($B$3="Stage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Girls"))),$B$5&gt;20),MIN(3,MAX(2,Setup!$B$14)),2))*2),AI42=$E$5,IF(AND(OR($B$3="Stage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Girls"))),$B$5&gt;20),MIN(3,MAX(2,Setup!$B$14)),2))*2-1))),AI42=$E$4,TRUE)),COUNTIF($C$32:$C41,AI42)&lt;$B$6,IF($BI42,COUNTIF($C$32:$C41,AI42)&lt;IF($B$3="Stage 1",MIN($B$6,MAX(1,INT($B$5/$B$11))),IF(AND($B$3="Stage 3",$B$5=20,$B$11&gt;11),1,IF(AND($B$3="Stage 3",OR($B$15="Year 10-11-12 Girls"),$B$5&gt;20),MAX(2,Setup!$B$14),Setup!$B$14))),IF(AND($B$3&lt;&gt;"Stage 2",$B$3&lt;&gt;"Stage 3"),TRUE,IF($U42,TRUE,COUNTIF($C$32:$C41,AI42)&lt;IF(AND($B$3="Stage 2",$B$5=20,AI42=$E$5,$A42&lt;=IF($B$8="One Keeper",$B$5,$B$8)),2,IF(AND(OR($B$3="Stage 2",AND($B$3="Stage 3",OR($B$15="Year 10-11-12 Girls"))),AI42=$E$5,$A42&lt;=IF($B$8="One Keeper",$B$5,$B$8)),3,$B$9)))))))</f>
        <v>0</v>
      </c>
      <c r="AW42" s="20" t="b">
        <f>IF(AJ42="",FALSE,AND(AJ42&lt;&gt;$B42,AJ42&lt;&gt;$C41,IFERROR(INDEX($E$18:$E$30,MATCH(AJ42,$B$18:$B$30,0)),"No")="Yes",IF(AND(OR($B$3="Stage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Girls"))),$B$5&gt;20),MIN(3,MAX(2,Setup!$B$14)),2))*2),AJ42=$E$5,IF(AND(OR($B$3="Stage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Girls"))),$B$5&gt;20),MIN(3,MAX(2,Setup!$B$14)),2))*2-1))),AJ42=$E$4,TRUE)),COUNTIF($C$32:$C41,AJ42)&lt;$B$6,IF($BI42,COUNTIF($C$32:$C41,AJ42)&lt;IF($B$3="Stage 1",MIN($B$6,MAX(1,INT($B$5/$B$11))),IF(AND($B$3="Stage 3",$B$5=20,$B$11&gt;11),1,IF(AND($B$3="Stage 3",OR($B$15="Year 10-11-12 Girls"),$B$5&gt;20),MAX(2,Setup!$B$14),Setup!$B$14))),IF(AND($B$3&lt;&gt;"Stage 2",$B$3&lt;&gt;"Stage 3"),TRUE,IF($U42,TRUE,COUNTIF($C$32:$C41,AJ42)&lt;IF(AND($B$3="Stage 2",$B$5=20,AJ42=$E$5,$A42&lt;=IF($B$8="One Keeper",$B$5,$B$8)),2,IF(AND(OR($B$3="Stage 2",AND($B$3="Stage 3",OR($B$15="Year 10-11-12 Girls"))),AJ42=$E$5,$A42&lt;=IF($B$8="One Keeper",$B$5,$B$8)),3,$B$9)))))))</f>
        <v>0</v>
      </c>
      <c r="AX42" s="20" t="b">
        <f>IF(AK42="",FALSE,AND(AK42&lt;&gt;$B42,AK42&lt;&gt;$C41,IFERROR(INDEX($E$18:$E$30,MATCH(AK42,$B$18:$B$30,0)),"No")="Yes",IF(AND(OR($B$3="Stage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Girls"))),$B$5&gt;20),MIN(3,MAX(2,Setup!$B$14)),2))*2),AK42=$E$5,IF(AND(OR($B$3="Stage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Girls"))),$B$5&gt;20),MIN(3,MAX(2,Setup!$B$14)),2))*2-1))),AK42=$E$4,TRUE)),COUNTIF($C$32:$C41,AK42)&lt;$B$6,IF($BI42,COUNTIF($C$32:$C41,AK42)&lt;IF($B$3="Stage 1",MIN($B$6,MAX(1,INT($B$5/$B$11))),IF(AND($B$3="Stage 3",$B$5=20,$B$11&gt;11),1,IF(AND($B$3="Stage 3",OR($B$15="Year 10-11-12 Girls"),$B$5&gt;20),MAX(2,Setup!$B$14),Setup!$B$14))),IF(AND($B$3&lt;&gt;"Stage 2",$B$3&lt;&gt;"Stage 3"),TRUE,IF($U42,TRUE,COUNTIF($C$32:$C41,AK42)&lt;IF(AND($B$3="Stage 2",$B$5=20,AK42=$E$5,$A42&lt;=IF($B$8="One Keeper",$B$5,$B$8)),2,IF(AND(OR($B$3="Stage 2",AND($B$3="Stage 3",OR($B$15="Year 10-11-12 Girls"))),AK42=$E$5,$A42&lt;=IF($B$8="One Keeper",$B$5,$B$8)),3,$B$9)))))))</f>
        <v>1</v>
      </c>
      <c r="AY42" s="20" t="b">
        <f>IF(AL42="",FALSE,AND(AL42&lt;&gt;$B42,AL42&lt;&gt;$C41,IFERROR(INDEX($E$18:$E$30,MATCH(AL42,$B$18:$B$30,0)),"No")="Yes",IF(AND(OR($B$3="Stage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Girls"))),$B$5&gt;20),MIN(3,MAX(2,Setup!$B$14)),2))*2),AL42=$E$5,IF(AND(OR($B$3="Stage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Girls"))),$B$5&gt;20),MIN(3,MAX(2,Setup!$B$14)),2))*2-1))),AL42=$E$4,TRUE)),COUNTIF($C$32:$C41,AL42)&lt;$B$6,IF($BI42,COUNTIF($C$32:$C41,AL42)&lt;IF($B$3="Stage 1",MIN($B$6,MAX(1,INT($B$5/$B$11))),IF(AND($B$3="Stage 3",$B$5=20,$B$11&gt;11),1,IF(AND($B$3="Stage 3",OR($B$15="Year 10-11-12 Girls"),$B$5&gt;20),MAX(2,Setup!$B$14),Setup!$B$14))),IF(AND($B$3&lt;&gt;"Stage 2",$B$3&lt;&gt;"Stage 3"),TRUE,IF($U42,TRUE,COUNTIF($C$32:$C41,AL42)&lt;IF(AND($B$3="Stage 2",$B$5=20,AL42=$E$5,$A42&lt;=IF($B$8="One Keeper",$B$5,$B$8)),2,IF(AND(OR($B$3="Stage 2",AND($B$3="Stage 3",OR($B$15="Year 10-11-12 Girls"))),AL42=$E$5,$A42&lt;=IF($B$8="One Keeper",$B$5,$B$8)),3,$B$9)))))))</f>
        <v>0</v>
      </c>
      <c r="AZ42" s="20" t="b">
        <f>IF(AM42="",FALSE,AND(AM42&lt;&gt;$B42,AM42&lt;&gt;$C41,IFERROR(INDEX($E$18:$E$30,MATCH(AM42,$B$18:$B$30,0)),"No")="Yes",IF(AND(OR($B$3="Stage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Girls"))),$B$5&gt;20),MIN(3,MAX(2,Setup!$B$14)),2))*2),AM42=$E$5,IF(AND(OR($B$3="Stage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Girls"))),$B$5&gt;20),MIN(3,MAX(2,Setup!$B$14)),2))*2-1))),AM42=$E$4,TRUE)),COUNTIF($C$32:$C41,AM42)&lt;$B$6,IF($BI42,COUNTIF($C$32:$C41,AM42)&lt;IF($B$3="Stage 1",MIN($B$6,MAX(1,INT($B$5/$B$11))),IF(AND($B$3="Stage 3",$B$5=20,$B$11&gt;11),1,IF(AND($B$3="Stage 3",OR($B$15="Year 10-11-12 Girls"),$B$5&gt;20),MAX(2,Setup!$B$14),Setup!$B$14))),IF(AND($B$3&lt;&gt;"Stage 2",$B$3&lt;&gt;"Stage 3"),TRUE,IF($U42,TRUE,COUNTIF($C$32:$C41,AM42)&lt;IF(AND($B$3="Stage 2",$B$5=20,AM42=$E$5,$A42&lt;=IF($B$8="One Keeper",$B$5,$B$8)),2,IF(AND(OR($B$3="Stage 2",AND($B$3="Stage 3",OR($B$15="Year 10-11-12 Girls"))),AM42=$E$5,$A42&lt;=IF($B$8="One Keeper",$B$5,$B$8)),3,$B$9)))))))</f>
        <v>0</v>
      </c>
      <c r="BA42" s="20" t="b">
        <f>IF(AN42="",FALSE,AND(AN42&lt;&gt;$B42,AN42&lt;&gt;$C41,IFERROR(INDEX($E$18:$E$30,MATCH(AN42,$B$18:$B$30,0)),"No")="Yes",IF(AND(OR($B$3="Stage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Girls"))),$B$5&gt;20),MIN(3,MAX(2,Setup!$B$14)),2))*2),AN42=$E$5,IF(AND(OR($B$3="Stage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Girls"))),$B$5&gt;20),MIN(3,MAX(2,Setup!$B$14)),2))*2-1))),AN42=$E$4,TRUE)),COUNTIF($C$32:$C41,AN42)&lt;$B$6,IF($BI42,COUNTIF($C$32:$C41,AN42)&lt;IF($B$3="Stage 1",MIN($B$6,MAX(1,INT($B$5/$B$11))),IF(AND($B$3="Stage 3",$B$5=20,$B$11&gt;11),1,IF(AND($B$3="Stage 3",OR($B$15="Year 10-11-12 Girls"),$B$5&gt;20),MAX(2,Setup!$B$14),Setup!$B$14))),IF(AND($B$3&lt;&gt;"Stage 2",$B$3&lt;&gt;"Stage 3"),TRUE,IF($U42,TRUE,COUNTIF($C$32:$C41,AN42)&lt;IF(AND($B$3="Stage 2",$B$5=20,AN42=$E$5,$A42&lt;=IF($B$8="One Keeper",$B$5,$B$8)),2,IF(AND(OR($B$3="Stage 2",AND($B$3="Stage 3",OR($B$15="Year 10-11-12 Girls"))),AN42=$E$5,$A42&lt;=IF($B$8="One Keeper",$B$5,$B$8)),3,$B$9)))))))</f>
        <v>0</v>
      </c>
      <c r="BB42" s="20" t="b">
        <f>IF(AO42="",FALSE,AND(AO42&lt;&gt;$B42,AO42&lt;&gt;$C41,IFERROR(INDEX($E$18:$E$30,MATCH(AO42,$B$18:$B$30,0)),"No")="Yes",IF(AND(OR($B$3="Stage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Girls"))),$B$5&gt;20),MIN(3,MAX(2,Setup!$B$14)),2))*2),AO42=$E$5,IF(AND(OR($B$3="Stage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Girls"))),$B$5&gt;20),MIN(3,MAX(2,Setup!$B$14)),2))*2-1))),AO42=$E$4,TRUE)),COUNTIF($C$32:$C41,AO42)&lt;$B$6,IF($BI42,COUNTIF($C$32:$C41,AO42)&lt;IF($B$3="Stage 1",MIN($B$6,MAX(1,INT($B$5/$B$11))),IF(AND($B$3="Stage 3",$B$5=20,$B$11&gt;11),1,IF(AND($B$3="Stage 3",OR($B$15="Year 10-11-12 Girls"),$B$5&gt;20),MAX(2,Setup!$B$14),Setup!$B$14))),IF(AND($B$3&lt;&gt;"Stage 2",$B$3&lt;&gt;"Stage 3"),TRUE,IF($U42,TRUE,COUNTIF($C$32:$C41,AO42)&lt;IF(AND($B$3="Stage 2",$B$5=20,AO42=$E$5,$A42&lt;=IF($B$8="One Keeper",$B$5,$B$8)),2,IF(AND(OR($B$3="Stage 2",AND($B$3="Stage 3",OR($B$15="Year 10-11-12 Girls"))),AO42=$E$5,$A42&lt;=IF($B$8="One Keeper",$B$5,$B$8)),3,$B$9)))))))</f>
        <v>0</v>
      </c>
      <c r="BC42" s="20" t="b">
        <f>IF(AP42="",FALSE,AND(AP42&lt;&gt;$B42,AP42&lt;&gt;$C41,IFERROR(INDEX($E$18:$E$30,MATCH(AP42,$B$18:$B$30,0)),"No")="Yes",IF(AND(OR($B$3="Stage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Girls"))),$B$5&gt;20),MIN(3,MAX(2,Setup!$B$14)),2))*2),AP42=$E$5,IF(AND(OR($B$3="Stage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Girls"))),$B$5&gt;20),MIN(3,MAX(2,Setup!$B$14)),2))*2-1))),AP42=$E$4,TRUE)),COUNTIF($C$32:$C41,AP42)&lt;$B$6,IF($BI42,COUNTIF($C$32:$C41,AP42)&lt;IF($B$3="Stage 1",MIN($B$6,MAX(1,INT($B$5/$B$11))),IF(AND($B$3="Stage 3",$B$5=20,$B$11&gt;11),1,IF(AND($B$3="Stage 3",OR($B$15="Year 10-11-12 Girls"),$B$5&gt;20),MAX(2,Setup!$B$14),Setup!$B$14))),IF(AND($B$3&lt;&gt;"Stage 2",$B$3&lt;&gt;"Stage 3"),TRUE,IF($U42,TRUE,COUNTIF($C$32:$C41,AP42)&lt;IF(AND($B$3="Stage 2",$B$5=20,AP42=$E$5,$A42&lt;=IF($B$8="One Keeper",$B$5,$B$8)),2,IF(AND(OR($B$3="Stage 2",AND($B$3="Stage 3",OR($B$15="Year 10-11-12 Girls"))),AP42=$E$5,$A42&lt;=IF($B$8="One Keeper",$B$5,$B$8)),3,$B$9)))))))</f>
        <v>0</v>
      </c>
      <c r="BD42" s="20" t="b">
        <f>IF(AQ42="",FALSE,AND(AQ42&lt;&gt;$B42,AQ42&lt;&gt;$C41,IFERROR(INDEX($E$18:$E$30,MATCH(AQ42,$B$18:$B$30,0)),"No")="Yes",IF(AND(OR($B$3="Stage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Girls"))),$B$5&gt;20),MIN(3,MAX(2,Setup!$B$14)),2))*2),AQ42=$E$5,IF(AND(OR($B$3="Stage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Girls"))),$B$5&gt;20),MIN(3,MAX(2,Setup!$B$14)),2))*2-1))),AQ42=$E$4,TRUE)),COUNTIF($C$32:$C41,AQ42)&lt;$B$6,IF($BI42,COUNTIF($C$32:$C41,AQ42)&lt;IF($B$3="Stage 1",MIN($B$6,MAX(1,INT($B$5/$B$11))),IF(AND($B$3="Stage 3",$B$5=20,$B$11&gt;11),1,IF(AND($B$3="Stage 3",OR($B$15="Year 10-11-12 Girls"),$B$5&gt;20),MAX(2,Setup!$B$14),Setup!$B$14))),IF(AND($B$3&lt;&gt;"Stage 2",$B$3&lt;&gt;"Stage 3"),TRUE,IF($U42,TRUE,COUNTIF($C$32:$C41,AQ42)&lt;IF(AND($B$3="Stage 2",$B$5=20,AQ42=$E$5,$A42&lt;=IF($B$8="One Keeper",$B$5,$B$8)),2,IF(AND(OR($B$3="Stage 2",AND($B$3="Stage 3",OR($B$15="Year 10-11-12 Girls"))),AQ42=$E$5,$A42&lt;=IF($B$8="One Keeper",$B$5,$B$8)),3,$B$9)))))))</f>
        <v>0</v>
      </c>
      <c r="BE42" s="20" t="b">
        <f>IF(AR42="",FALSE,AND(AR42&lt;&gt;$B42,AR42&lt;&gt;$C41,IFERROR(INDEX($E$18:$E$30,MATCH(AR42,$B$18:$B$30,0)),"No")="Yes",IF(AND(OR($B$3="Stage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Girls"))),$B$5&gt;20),MIN(3,MAX(2,Setup!$B$14)),2))*2),AR42=$E$5,IF(AND(OR($B$3="Stage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Girls"))),$B$5&gt;20),MIN(3,MAX(2,Setup!$B$14)),2))*2-1))),AR42=$E$4,TRUE)),COUNTIF($C$32:$C41,AR42)&lt;$B$6,IF($BI42,COUNTIF($C$32:$C41,AR42)&lt;IF($B$3="Stage 1",MIN($B$6,MAX(1,INT($B$5/$B$11))),IF(AND($B$3="Stage 3",$B$5=20,$B$11&gt;11),1,IF(AND($B$3="Stage 3",OR($B$15="Year 10-11-12 Girls"),$B$5&gt;20),MAX(2,Setup!$B$14),Setup!$B$14))),IF(AND($B$3&lt;&gt;"Stage 2",$B$3&lt;&gt;"Stage 3"),TRUE,IF($U42,TRUE,COUNTIF($C$32:$C41,AR42)&lt;IF(AND($B$3="Stage 2",$B$5=20,AR42=$E$5,$A42&lt;=IF($B$8="One Keeper",$B$5,$B$8)),2,IF(AND(OR($B$3="Stage 2",AND($B$3="Stage 3",OR($B$15="Year 10-11-12 Girls"))),AR42=$E$5,$A42&lt;=IF($B$8="One Keeper",$B$5,$B$8)),3,$B$9)))))))</f>
        <v>1</v>
      </c>
      <c r="BF42" s="20" t="b">
        <f>IF(AS42="",FALSE,AND(AS42&lt;&gt;$B42,AS42&lt;&gt;$C41,IFERROR(INDEX($E$18:$E$30,MATCH(AS42,$B$18:$B$30,0)),"No")="Yes",IF(AND(OR($B$3="Stage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Girls"))),$B$5&gt;20),MIN(3,MAX(2,Setup!$B$14)),2))*2),AS42=$E$5,IF(AND(OR($B$3="Stage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Girls"))),$B$5&gt;20),MIN(3,MAX(2,Setup!$B$14)),2))*2-1))),AS42=$E$4,TRUE)),COUNTIF($C$32:$C41,AS42)&lt;$B$6,IF($BI42,COUNTIF($C$32:$C41,AS42)&lt;IF($B$3="Stage 1",MIN($B$6,MAX(1,INT($B$5/$B$11))),IF(AND($B$3="Stage 3",$B$5=20,$B$11&gt;11),1,IF(AND($B$3="Stage 3",OR($B$15="Year 10-11-12 Girls"),$B$5&gt;20),MAX(2,Setup!$B$14),Setup!$B$14))),IF(AND($B$3&lt;&gt;"Stage 2",$B$3&lt;&gt;"Stage 3"),TRUE,IF($U42,TRUE,COUNTIF($C$32:$C41,AS42)&lt;IF(AND($B$3="Stage 2",$B$5=20,AS42=$E$5,$A42&lt;=IF($B$8="One Keeper",$B$5,$B$8)),2,IF(AND(OR($B$3="Stage 2",AND($B$3="Stage 3",OR($B$15="Year 10-11-12 Girls"))),AS42=$E$5,$A42&lt;=IF($B$8="One Keeper",$B$5,$B$8)),3,$B$9)))))))</f>
        <v>0</v>
      </c>
      <c r="BG42" s="20" t="b">
        <f>IF(AT42="",FALSE,AND(AT42&lt;&gt;$B42,AT42&lt;&gt;$C41,IFERROR(INDEX($E$18:$E$30,MATCH(AT42,$B$18:$B$30,0)),"No")="Yes",IF(AND(OR($B$3="Stage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Girls"))),$B$5&gt;20),MIN(3,MAX(2,Setup!$B$14)),2))*2),AT42=$E$5,IF(AND(OR($B$3="Stage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Girls"))),$B$5&gt;20),MIN(3,MAX(2,Setup!$B$14)),2))*2-1))),AT42=$E$4,TRUE)),COUNTIF($C$32:$C41,AT42)&lt;$B$6,IF($BI42,COUNTIF($C$32:$C41,AT42)&lt;IF($B$3="Stage 1",MIN($B$6,MAX(1,INT($B$5/$B$11))),IF(AND($B$3="Stage 3",$B$5=20,$B$11&gt;11),1,IF(AND($B$3="Stage 3",OR($B$15="Year 10-11-12 Girls"),$B$5&gt;20),MAX(2,Setup!$B$14),Setup!$B$14))),IF(AND($B$3&lt;&gt;"Stage 2",$B$3&lt;&gt;"Stage 3"),TRUE,IF($U42,TRUE,COUNTIF($C$32:$C41,AT42)&lt;IF(AND($B$3="Stage 2",$B$5=20,AT42=$E$5,$A42&lt;=IF($B$8="One Keeper",$B$5,$B$8)),2,IF(AND(OR($B$3="Stage 2",AND($B$3="Stage 3",OR($B$15="Year 10-11-12 Girls"))),AT42=$E$5,$A42&lt;=IF($B$8="One Keeper",$B$5,$B$8)),3,$B$9)))))))</f>
        <v>0</v>
      </c>
      <c r="BH42" s="20" t="b">
        <f>IF(AU42="",FALSE,AND(AU42&lt;&gt;$B42,AU42&lt;&gt;$C41,IFERROR(INDEX($E$18:$E$30,MATCH(AU42,$B$18:$B$30,0)),"No")="Yes",IF(AND(OR($B$3="Stage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Girls"))),$B$5&gt;20),MIN(3,MAX(2,Setup!$B$14)),2))*2),AU42=$E$5,IF(AND(OR($B$3="Stage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Girls"))),$B$5&gt;20),MIN(3,MAX(2,Setup!$B$14)),2))*2-1))),AU42=$E$4,TRUE)),COUNTIF($C$32:$C41,AU42)&lt;$B$6,IF($BI42,COUNTIF($C$32:$C41,AU42)&lt;IF($B$3="Stage 1",MIN($B$6,MAX(1,INT($B$5/$B$11))),IF(AND($B$3="Stage 3",$B$5=20,$B$11&gt;11),1,IF(AND($B$3="Stage 3",OR($B$15="Year 10-11-12 Girls"),$B$5&gt;20),MAX(2,Setup!$B$14),Setup!$B$14))),IF(AND($B$3&lt;&gt;"Stage 2",$B$3&lt;&gt;"Stage 3"),TRUE,IF($U42,TRUE,COUNTIF($C$32:$C41,AU42)&lt;IF(AND($B$3="Stage 2",$B$5=20,AU42=$E$5,$A42&lt;=IF($B$8="One Keeper",$B$5,$B$8)),2,IF(AND(OR($B$3="Stage 2",AND($B$3="Stage 3",OR($B$15="Year 10-11-12 Girls"))),AU42=$E$5,$A42&lt;=IF($B$8="One Keeper",$B$5,$B$8)),3,$B$9)))))))</f>
        <v>0</v>
      </c>
      <c r="BI42"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Keeper",$E$4&lt;&gt;$E$5,$A42&lt;=IF($B$8="One Keeper",$B$5,$B$8),COUNTIF($C$32:$C41,$E$5)&lt;IF(AND($B$3="Stage 3",$B$5=20,$B$11&gt;11),1,IF(AND(OR($B$3="Stage 2",AND($B$3="Stage 3",OR($B$15="Year 10-11-12 Girls"))),$B$5&gt;20),MIN(3,MAX(2,Setup!$B$14)),2)),IFERROR(INDEX($E$18:$E$30,MATCH($E$5,$B$18:$B$30,0)),"No")="Yes",$C41&lt;&gt;$E$5,MOD($A42,2)=0,$A42&lt;=IF(AND($B$3="Stage 3",$B$5=20,$B$11&gt;11),1,IF(AND(OR($B$3="Stage 2",AND($B$3="Stage 3",OR($B$15="Year 10-11-12 Girls"))),$B$5&gt;20),MIN(3,MAX(2,Setup!$B$14)),2))*2),AND(OR($B$3="Stage 1",$B$3="Stage 2",AND($B$3="Stage 3",OR(OR($B$15="Year 10-11-12 Girls"),OR($B$15="Year 8 Boys",$B$15="Year 9 Boys",$B$15="Year 10-11 Boys")))),$B$8&lt;&gt;"One Keeper",$E$4&lt;&gt;$E$5,$A42&gt;IF($B$8="One Keeper",$B$5,$B$8),COUNTIF($C$32:$C41,$E$4)&lt;IF(AND($B$3="Stage 3",$B$5=20,$B$11&gt;11),1,IF(AND(OR($B$3="Stage 2",AND($B$3="Stage 3",OR($B$15="Year 10-11-12 Girls"))),$B$5&gt;20),MIN(3,MAX(2,Setup!$B$14)),2)),IFERROR(INDEX($E$18:$E$30,MATCH($E$4,$B$18:$B$30,0)),"No")="Yes",$C41&lt;&gt;$E$4,IF($B$7="Three-over spell",AND(MOD($A42-IF($B$8="One Keeper",$B$5,$B$8)-1,3)=0,($A42-IF($B$8="One Keeper",$B$5,$B$8))&lt;=1+(IF(AND($B$3="Stage 3",$B$5=20,$B$11&gt;11),1,IF(AND(OR($B$3="Stage 2",AND($B$3="Stage 3",OR($B$15="Year 10-11-12 Girls"))),$B$5&gt;20),MIN(3,MAX(2,Setup!$B$14)),2))-1)*3),AND(MOD($A42-IF($B$8="One Keeper",$B$5,$B$8),2)=1,($A42-IF($B$8="One Keeper",$B$5,$B$8))&lt;=IF(AND($B$3="Stage 3",$B$5=20,$B$11&gt;11),1,IF(AND(OR($B$3="Stage 2",AND($B$3="Stage 3",OR($B$15="Year 10-11-12 Girls"))),$B$5&gt;20),MIN(3,MAX(2,Setup!$B$14)),2))*2-1))))),OR($U42,AND($B$3="Stage 3",$B$5=20,$B$11&gt;11)),OR($BJ42,$BK42,$BL42,$BM42,$BN42,$BO42,$BP42,$BQ42,$BR42,$BS42,$BT42,$BU42,$BV42))</f>
        <v>0</v>
      </c>
      <c r="BJ42" s="20" t="b">
        <f>IF(AI42="",FALSE,AND(AI42&lt;&gt;IF(AND($B$3="Stage 3",OR($B$15="Year 8 Boys",$B$15="Year 9 Boys",$B$15="Year 10-11 Boys"),$B$8="One Keeper"),$E$4,""),AI42&lt;&gt;$B42,AI42&lt;&gt;$C41,IFERROR(INDEX($E$18:$E$30,MATCH(AI42,$B$18:$B$30,0)),"No")="Yes",COUNTIF($C$32:$C41,AI42)&lt;$B$6,COUNTIF($C$32:$C41,AI42)&lt;IF($B$3="Stage 1",MIN($B$6,MAX(1,INT($B$5/$B$11))),IF(AND($B$3="Stage 3",$B$5=20,$B$11&gt;11),1,IF(AND($B$3="Stage 3",OR($B$15="Year 10-11-12 Girls"),$B$5&gt;20),MAX(2,Setup!$B$14),Setup!$B$14)))))</f>
        <v>0</v>
      </c>
      <c r="BK42" s="20" t="b">
        <f>IF(AJ42="",FALSE,AND(AJ42&lt;&gt;IF(AND($B$3="Stage 3",OR($B$15="Year 8 Boys",$B$15="Year 9 Boys",$B$15="Year 10-11 Boys"),$B$8="One Keeper"),$E$4,""),AJ42&lt;&gt;$B42,AJ42&lt;&gt;$C41,IFERROR(INDEX($E$18:$E$30,MATCH(AJ42,$B$18:$B$30,0)),"No")="Yes",COUNTIF($C$32:$C41,AJ42)&lt;$B$6,COUNTIF($C$32:$C41,AJ42)&lt;IF($B$3="Stage 1",MIN($B$6,MAX(1,INT($B$5/$B$11))),IF(AND($B$3="Stage 3",$B$5=20,$B$11&gt;11),1,IF(AND($B$3="Stage 3",OR($B$15="Year 10-11-12 Girls"),$B$5&gt;20),MAX(2,Setup!$B$14),Setup!$B$14)))))</f>
        <v>1</v>
      </c>
      <c r="BL42" s="20" t="b">
        <f>IF(AK42="",FALSE,AND(AK42&lt;&gt;IF(AND($B$3="Stage 3",OR($B$15="Year 8 Boys",$B$15="Year 9 Boys",$B$15="Year 10-11 Boys"),$B$8="One Keeper"),$E$4,""),AK42&lt;&gt;$B42,AK42&lt;&gt;$C41,IFERROR(INDEX($E$18:$E$30,MATCH(AK42,$B$18:$B$30,0)),"No")="Yes",COUNTIF($C$32:$C41,AK42)&lt;$B$6,COUNTIF($C$32:$C41,AK42)&lt;IF($B$3="Stage 1",MIN($B$6,MAX(1,INT($B$5/$B$11))),IF(AND($B$3="Stage 3",$B$5=20,$B$11&gt;11),1,IF(AND($B$3="Stage 3",OR($B$15="Year 10-11-12 Girls"),$B$5&gt;20),MAX(2,Setup!$B$14),Setup!$B$14)))))</f>
        <v>1</v>
      </c>
      <c r="BM42" s="20" t="b">
        <f>IF(AL42="",FALSE,AND(AL42&lt;&gt;IF(AND($B$3="Stage 3",OR($B$15="Year 8 Boys",$B$15="Year 9 Boys",$B$15="Year 10-11 Boys"),$B$8="One Keeper"),$E$4,""),AL42&lt;&gt;$B42,AL42&lt;&gt;$C41,IFERROR(INDEX($E$18:$E$30,MATCH(AL42,$B$18:$B$30,0)),"No")="Yes",COUNTIF($C$32:$C41,AL42)&lt;$B$6,COUNTIF($C$32:$C41,AL42)&lt;IF($B$3="Stage 1",MIN($B$6,MAX(1,INT($B$5/$B$11))),IF(AND($B$3="Stage 3",$B$5=20,$B$11&gt;11),1,IF(AND($B$3="Stage 3",OR($B$15="Year 10-11-12 Girls"),$B$5&gt;20),MAX(2,Setup!$B$14),Setup!$B$14)))))</f>
        <v>0</v>
      </c>
      <c r="BN42" s="20" t="b">
        <f>IF(AM42="",FALSE,AND(AM42&lt;&gt;IF(AND($B$3="Stage 3",OR($B$15="Year 8 Boys",$B$15="Year 9 Boys",$B$15="Year 10-11 Boys"),$B$8="One Keeper"),$E$4,""),AM42&lt;&gt;$B42,AM42&lt;&gt;$C41,IFERROR(INDEX($E$18:$E$30,MATCH(AM42,$B$18:$B$30,0)),"No")="Yes",COUNTIF($C$32:$C41,AM42)&lt;$B$6,COUNTIF($C$32:$C41,AM42)&lt;IF($B$3="Stage 1",MIN($B$6,MAX(1,INT($B$5/$B$11))),IF(AND($B$3="Stage 3",$B$5=20,$B$11&gt;11),1,IF(AND($B$3="Stage 3",OR($B$15="Year 10-11-12 Girls"),$B$5&gt;20),MAX(2,Setup!$B$14),Setup!$B$14)))))</f>
        <v>0</v>
      </c>
      <c r="BO42" s="20" t="b">
        <f>IF(AN42="",FALSE,AND(AN42&lt;&gt;IF(AND($B$3="Stage 3",OR($B$15="Year 8 Boys",$B$15="Year 9 Boys",$B$15="Year 10-11 Boys"),$B$8="One Keeper"),$E$4,""),AN42&lt;&gt;$B42,AN42&lt;&gt;$C41,IFERROR(INDEX($E$18:$E$30,MATCH(AN42,$B$18:$B$30,0)),"No")="Yes",COUNTIF($C$32:$C41,AN42)&lt;$B$6,COUNTIF($C$32:$C41,AN42)&lt;IF($B$3="Stage 1",MIN($B$6,MAX(1,INT($B$5/$B$11))),IF(AND($B$3="Stage 3",$B$5=20,$B$11&gt;11),1,IF(AND($B$3="Stage 3",OR($B$15="Year 10-11-12 Girls"),$B$5&gt;20),MAX(2,Setup!$B$14),Setup!$B$14)))))</f>
        <v>0</v>
      </c>
      <c r="BP42" s="20" t="b">
        <f>IF(AO42="",FALSE,AND(AO42&lt;&gt;IF(AND($B$3="Stage 3",OR($B$15="Year 8 Boys",$B$15="Year 9 Boys",$B$15="Year 10-11 Boys"),$B$8="One Keeper"),$E$4,""),AO42&lt;&gt;$B42,AO42&lt;&gt;$C41,IFERROR(INDEX($E$18:$E$30,MATCH(AO42,$B$18:$B$30,0)),"No")="Yes",COUNTIF($C$32:$C41,AO42)&lt;$B$6,COUNTIF($C$32:$C41,AO42)&lt;IF($B$3="Stage 1",MIN($B$6,MAX(1,INT($B$5/$B$11))),IF(AND($B$3="Stage 3",$B$5=20,$B$11&gt;11),1,IF(AND($B$3="Stage 3",OR($B$15="Year 10-11-12 Girls"),$B$5&gt;20),MAX(2,Setup!$B$14),Setup!$B$14)))))</f>
        <v>0</v>
      </c>
      <c r="BQ42" s="20" t="b">
        <f>IF(AP42="",FALSE,AND(AP42&lt;&gt;IF(AND($B$3="Stage 3",OR($B$15="Year 8 Boys",$B$15="Year 9 Boys",$B$15="Year 10-11 Boys"),$B$8="One Keeper"),$E$4,""),AP42&lt;&gt;$B42,AP42&lt;&gt;$C41,IFERROR(INDEX($E$18:$E$30,MATCH(AP42,$B$18:$B$30,0)),"No")="Yes",COUNTIF($C$32:$C41,AP42)&lt;$B$6,COUNTIF($C$32:$C41,AP42)&lt;IF($B$3="Stage 1",MIN($B$6,MAX(1,INT($B$5/$B$11))),IF(AND($B$3="Stage 3",$B$5=20,$B$11&gt;11),1,IF(AND($B$3="Stage 3",OR($B$15="Year 10-11-12 Girls"),$B$5&gt;20),MAX(2,Setup!$B$14),Setup!$B$14)))))</f>
        <v>0</v>
      </c>
      <c r="BR42" s="20" t="b">
        <f>IF(AQ42="",FALSE,AND(AQ42&lt;&gt;IF(AND($B$3="Stage 3",OR($B$15="Year 8 Boys",$B$15="Year 9 Boys",$B$15="Year 10-11 Boys"),$B$8="One Keeper"),$E$4,""),AQ42&lt;&gt;$B42,AQ42&lt;&gt;$C41,IFERROR(INDEX($E$18:$E$30,MATCH(AQ42,$B$18:$B$30,0)),"No")="Yes",COUNTIF($C$32:$C41,AQ42)&lt;$B$6,COUNTIF($C$32:$C41,AQ42)&lt;IF($B$3="Stage 1",MIN($B$6,MAX(1,INT($B$5/$B$11))),IF(AND($B$3="Stage 3",$B$5=20,$B$11&gt;11),1,IF(AND($B$3="Stage 3",OR($B$15="Year 10-11-12 Girls"),$B$5&gt;20),MAX(2,Setup!$B$14),Setup!$B$14)))))</f>
        <v>1</v>
      </c>
      <c r="BS42" s="20" t="b">
        <f>IF(AR42="",FALSE,AND(AR42&lt;&gt;IF(AND($B$3="Stage 3",OR($B$15="Year 8 Boys",$B$15="Year 9 Boys",$B$15="Year 10-11 Boys"),$B$8="One Keeper"),$E$4,""),AR42&lt;&gt;$B42,AR42&lt;&gt;$C41,IFERROR(INDEX($E$18:$E$30,MATCH(AR42,$B$18:$B$30,0)),"No")="Yes",COUNTIF($C$32:$C41,AR42)&lt;$B$6,COUNTIF($C$32:$C41,AR42)&lt;IF($B$3="Stage 1",MIN($B$6,MAX(1,INT($B$5/$B$11))),IF(AND($B$3="Stage 3",$B$5=20,$B$11&gt;11),1,IF(AND($B$3="Stage 3",OR($B$15="Year 10-11-12 Girls"),$B$5&gt;20),MAX(2,Setup!$B$14),Setup!$B$14)))))</f>
        <v>1</v>
      </c>
      <c r="BT42" s="20" t="b">
        <f>IF(AS42="",FALSE,AND(AS42&lt;&gt;IF(AND($B$3="Stage 3",OR($B$15="Year 8 Boys",$B$15="Year 9 Boys",$B$15="Year 10-11 Boys"),$B$8="One Keeper"),$E$4,""),AS42&lt;&gt;$B42,AS42&lt;&gt;$C41,IFERROR(INDEX($E$18:$E$30,MATCH(AS42,$B$18:$B$30,0)),"No")="Yes",COUNTIF($C$32:$C41,AS42)&lt;$B$6,COUNTIF($C$32:$C41,AS42)&lt;IF($B$3="Stage 1",MIN($B$6,MAX(1,INT($B$5/$B$11))),IF(AND($B$3="Stage 3",$B$5=20,$B$11&gt;11),1,IF(AND($B$3="Stage 3",OR($B$15="Year 10-11-12 Girls"),$B$5&gt;20),MAX(2,Setup!$B$14),Setup!$B$14)))))</f>
        <v>0</v>
      </c>
      <c r="BU42" s="20" t="b">
        <f>IF(AT42="",FALSE,AND(AT42&lt;&gt;IF(AND($B$3="Stage 3",OR($B$15="Year 8 Boys",$B$15="Year 9 Boys",$B$15="Year 10-11 Boys"),$B$8="One Keeper"),$E$4,""),AT42&lt;&gt;$B42,AT42&lt;&gt;$C41,IFERROR(INDEX($E$18:$E$30,MATCH(AT42,$B$18:$B$30,0)),"No")="Yes",COUNTIF($C$32:$C41,AT42)&lt;$B$6,COUNTIF($C$32:$C41,AT42)&lt;IF($B$3="Stage 1",MIN($B$6,MAX(1,INT($B$5/$B$11))),IF(AND($B$3="Stage 3",$B$5=20,$B$11&gt;11),1,IF(AND($B$3="Stage 3",OR($B$15="Year 10-11-12 Girls"),$B$5&gt;20),MAX(2,Setup!$B$14),Setup!$B$14)))))</f>
        <v>0</v>
      </c>
      <c r="BV42" s="20" t="b">
        <f>IF(AU42="",FALSE,AND(AU42&lt;&gt;IF(AND($B$3="Stage 3",OR($B$15="Year 8 Boys",$B$15="Year 9 Boys",$B$15="Year 10-11 Boys"),$B$8="One Keeper"),$E$4,""),AU42&lt;&gt;$B42,AU42&lt;&gt;$C41,IFERROR(INDEX($E$18:$E$30,MATCH(AU42,$B$18:$B$30,0)),"No")="Yes",COUNTIF($C$32:$C41,AU42)&lt;$B$6,COUNTIF($C$32:$C41,AU42)&lt;IF($B$3="Stage 1",MIN($B$6,MAX(1,INT($B$5/$B$11))),IF(AND($B$3="Stage 3",$B$5=20,$B$11&gt;11),1,IF(AND($B$3="Stage 3",OR($B$15="Year 10-11-12 Girls"),$B$5&gt;20),MAX(2,Setup!$B$14),Setup!$B$14)))))</f>
        <v>0</v>
      </c>
      <c r="BW42" s="20"/>
      <c r="BX42" s="20"/>
      <c r="BY42" s="20"/>
      <c r="BZ42" s="20"/>
      <c r="CA42" s="20"/>
      <c r="CB42" s="20"/>
      <c r="CC42" s="20"/>
      <c r="CD42" s="20"/>
      <c r="CE42" s="20"/>
      <c r="CF42" s="20"/>
      <c r="CG42" s="20"/>
      <c r="CH42" s="20"/>
      <c r="CI42" s="20"/>
      <c r="CJ42" s="20"/>
      <c r="CK42" s="20"/>
    </row>
    <row r="43" spans="1:89" ht="15" customHeight="1">
      <c r="A43" s="18">
        <v>12</v>
      </c>
      <c r="B43" s="18" t="str">
        <f t="shared" si="5"/>
        <v>Player 2</v>
      </c>
      <c r="C43" s="18" t="str">
        <f t="shared" si="6"/>
        <v>Player 7</v>
      </c>
      <c r="D43" s="18">
        <f t="shared" si="7"/>
        <v>5</v>
      </c>
      <c r="E43" s="18">
        <f>IF($C43="","",COUNTIF($C$32:C43,$C43))</f>
        <v>2</v>
      </c>
      <c r="F43" s="18" t="str">
        <f t="shared" si="8"/>
        <v/>
      </c>
      <c r="H43" s="18" t="str">
        <f t="shared" si="9"/>
        <v/>
      </c>
      <c r="I43" s="18" t="str">
        <f t="shared" si="10"/>
        <v/>
      </c>
      <c r="J43" s="18" t="str">
        <f t="shared" si="11"/>
        <v/>
      </c>
      <c r="K43" s="18" t="str">
        <f>IF($H43="","",IF($B$3="Stage 1","",IF($B$10="Finals","Finals",IF($B$3="Stage 2",IF($B$5=20,IF($B$11=11,IF($I43&gt;=1,"OK","Needs 1+"),IF($I43&gt;=2,"OK","Needs 2")),IF($B$5=30,IF($I43&gt;=2,"OK","Needs 2"),IF($I43&gt;=Setup!$B$14,"OK","Below target"))),IF($B$3="Stage 3",IF(OR($B$15="Year 8 Boys",$B$15="Year 9 Boys",$B$15="Year 10-11 Boys"),"Team rule",IF($B$5=20,IF($B$11&gt;10,IF($I43&gt;=1,"OK","Needs 1+"),IF($I43&gt;=2,"OK","Needs 2")),IF($I43&gt;=MAX(2,Setup!$B$14),"OK","Needs "&amp;MAX(2,Setup!$B$14)))),"")))))</f>
        <v/>
      </c>
      <c r="L43" s="18" t="str">
        <f t="shared" si="12"/>
        <v/>
      </c>
      <c r="M43" s="18" t="str">
        <f t="shared" si="13"/>
        <v/>
      </c>
      <c r="N43" s="18" t="str">
        <f t="shared" si="14"/>
        <v/>
      </c>
      <c r="T43" s="20">
        <f t="shared" si="15"/>
        <v>5</v>
      </c>
      <c r="U43" s="20" t="b">
        <f>IF(OR($B$3="Stage 2",AND($B$3="Stage 3",OR($B$15="Year 10-11-12 Girls"))),(IF(AND($P$18&lt;&gt;"",$P$18&lt;&gt;$E$4,COUNTIF($C$32:$C42,$P$18)&gt;=2),1,0)+IF(AND($P$19&lt;&gt;"",$P$19&lt;&gt;$E$4,COUNTIF($C$32:$C42,$P$19)&gt;=2),1,0)+IF(AND($P$20&lt;&gt;"",$P$20&lt;&gt;$E$4,COUNTIF($C$32:$C42,$P$20)&gt;=2),1,0)+IF(AND($P$21&lt;&gt;"",$P$21&lt;&gt;$E$4,COUNTIF($C$32:$C42,$P$21)&gt;=2),1,0)+IF(AND($P$22&lt;&gt;"",$P$22&lt;&gt;$E$4,COUNTIF($C$32:$C42,$P$22)&gt;=2),1,0)+IF(AND($P$23&lt;&gt;"",$P$23&lt;&gt;$E$4,COUNTIF($C$32:$C42,$P$23)&gt;=2),1,0)+IF(AND($P$24&lt;&gt;"",$P$24&lt;&gt;$E$4,COUNTIF($C$32:$C42,$P$24)&gt;=2),1,0)+IF(AND($P$25&lt;&gt;"",$P$25&lt;&gt;$E$4,COUNTIF($C$32:$C42,$P$25)&gt;=2),1,0)+IF(AND($P$26&lt;&gt;"",$P$26&lt;&gt;$E$4,COUNTIF($C$32:$C42,$P$26)&gt;=2),1,0)+IF(AND($P$27&lt;&gt;"",$P$27&lt;&gt;$E$4,COUNTIF($C$32:$C42,$P$27)&gt;=2),1,0)+IF(AND($P$28&lt;&gt;"",$P$28&lt;&gt;$E$4,COUNTIF($C$32:$C42,$P$28)&gt;=2),1,0)+IF(AND($P$29&lt;&gt;"",$P$29&lt;&gt;$E$4,COUNTIF($C$32:$C42,$P$29)&gt;=2),1,0)+IF(AND($P$30&lt;&gt;"",$P$30&lt;&gt;$E$4,COUNTIF($C$32:$C42,$P$30)&gt;=2),1,0))&gt;=MAX(0,$B$11-1),IF(AND($B$3="Stage 3",OR($B$15="Year 8 Boys",$B$15="Year 9 Boys",$B$15="Year 10-11 Boys")),(IF(AND($P$18&lt;&gt;"",COUNTIF($C$32:$C42,$P$18)&gt;=2),1,0)+IF(AND($P$19&lt;&gt;"",COUNTIF($C$32:$C42,$P$19)&gt;=2),1,0)+IF(AND($P$20&lt;&gt;"",COUNTIF($C$32:$C42,$P$20)&gt;=2),1,0)+IF(AND($P$21&lt;&gt;"",COUNTIF($C$32:$C42,$P$21)&gt;=2),1,0)+IF(AND($P$22&lt;&gt;"",COUNTIF($C$32:$C42,$P$22)&gt;=2),1,0)+IF(AND($P$23&lt;&gt;"",COUNTIF($C$32:$C42,$P$23)&gt;=2),1,0)+IF(AND($P$24&lt;&gt;"",COUNTIF($C$32:$C42,$P$24)&gt;=2),1,0)+IF(AND($P$25&lt;&gt;"",COUNTIF($C$32:$C42,$P$25)&gt;=2),1,0)+IF(AND($P$26&lt;&gt;"",COUNTIF($C$32:$C42,$P$26)&gt;=2),1,0)+IF(AND($P$27&lt;&gt;"",COUNTIF($C$32:$C42,$P$27)&gt;=2),1,0)+IF(AND($P$28&lt;&gt;"",COUNTIF($C$32:$C42,$P$28)&gt;=2),1,0)+IF(AND($P$29&lt;&gt;"",COUNTIF($C$32:$C42,$P$29)&gt;=2),1,0)+IF(AND($P$30&lt;&gt;"",COUNTIF($C$32:$C42,$P$30)&gt;=2),1,0))&gt;=7,TRUE))</f>
        <v>1</v>
      </c>
      <c r="V43" s="20">
        <f t="shared" si="30"/>
        <v>5</v>
      </c>
      <c r="W43" s="20">
        <f t="shared" si="30"/>
        <v>6</v>
      </c>
      <c r="X43" s="20">
        <f t="shared" si="30"/>
        <v>7</v>
      </c>
      <c r="Y43" s="20">
        <f t="shared" si="30"/>
        <v>1</v>
      </c>
      <c r="Z43" s="20">
        <f t="shared" si="30"/>
        <v>2</v>
      </c>
      <c r="AA43" s="20">
        <f t="shared" si="30"/>
        <v>3</v>
      </c>
      <c r="AB43" s="20">
        <f t="shared" si="30"/>
        <v>4</v>
      </c>
      <c r="AC43" s="20">
        <f t="shared" si="30"/>
        <v>5</v>
      </c>
      <c r="AD43" s="20">
        <f t="shared" si="30"/>
        <v>6</v>
      </c>
      <c r="AE43" s="20">
        <f t="shared" si="30"/>
        <v>7</v>
      </c>
      <c r="AF43" s="20">
        <f t="shared" si="30"/>
        <v>1</v>
      </c>
      <c r="AG43" s="20">
        <f t="shared" si="30"/>
        <v>2</v>
      </c>
      <c r="AH43" s="20">
        <f t="shared" si="30"/>
        <v>3</v>
      </c>
      <c r="AI43" s="20" t="str">
        <f t="shared" si="17"/>
        <v>Player 7</v>
      </c>
      <c r="AJ43" s="20" t="str">
        <f t="shared" si="18"/>
        <v>Player 1</v>
      </c>
      <c r="AK43" s="20" t="str">
        <f t="shared" si="19"/>
        <v>Player 2</v>
      </c>
      <c r="AL43" s="20" t="str">
        <f t="shared" si="20"/>
        <v>Player 3</v>
      </c>
      <c r="AM43" s="20" t="str">
        <f t="shared" si="21"/>
        <v>Player 4</v>
      </c>
      <c r="AN43" s="20" t="str">
        <f t="shared" si="22"/>
        <v>Player 5</v>
      </c>
      <c r="AO43" s="20" t="str">
        <f t="shared" si="23"/>
        <v>Player 6</v>
      </c>
      <c r="AP43" s="20" t="str">
        <f t="shared" si="24"/>
        <v>Player 7</v>
      </c>
      <c r="AQ43" s="20" t="str">
        <f t="shared" si="25"/>
        <v>Player 1</v>
      </c>
      <c r="AR43" s="20" t="str">
        <f t="shared" si="26"/>
        <v>Player 2</v>
      </c>
      <c r="AS43" s="20" t="str">
        <f t="shared" si="27"/>
        <v>Player 3</v>
      </c>
      <c r="AT43" s="20" t="str">
        <f t="shared" si="28"/>
        <v>Player 4</v>
      </c>
      <c r="AU43" s="20" t="str">
        <f t="shared" si="29"/>
        <v>Player 5</v>
      </c>
      <c r="AV43" s="20" t="b">
        <f>IF(AI43="",FALSE,AND(AI43&lt;&gt;$B43,AI43&lt;&gt;$C42,IFERROR(INDEX($E$18:$E$30,MATCH(AI43,$B$18:$B$30,0)),"No")="Yes",IF(AND(OR($B$3="Stage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Girls"))),$B$5&gt;20),MIN(3,MAX(2,Setup!$B$14)),2))*2),AI43=$E$5,IF(AND(OR($B$3="Stage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Girls"))),$B$5&gt;20),MIN(3,MAX(2,Setup!$B$14)),2))*2-1))),AI43=$E$4,TRUE)),COUNTIF($C$32:$C42,AI43)&lt;$B$6,IF($BI43,COUNTIF($C$32:$C42,AI43)&lt;IF($B$3="Stage 1",MIN($B$6,MAX(1,INT($B$5/$B$11))),IF(AND($B$3="Stage 3",$B$5=20,$B$11&gt;11),1,IF(AND($B$3="Stage 3",OR($B$15="Year 10-11-12 Girls"),$B$5&gt;20),MAX(2,Setup!$B$14),Setup!$B$14))),IF(AND($B$3&lt;&gt;"Stage 2",$B$3&lt;&gt;"Stage 3"),TRUE,IF($U43,TRUE,COUNTIF($C$32:$C42,AI43)&lt;IF(AND($B$3="Stage 2",$B$5=20,AI43=$E$5,$A43&lt;=IF($B$8="One Keeper",$B$5,$B$8)),2,IF(AND(OR($B$3="Stage 2",AND($B$3="Stage 3",OR($B$15="Year 10-11-12 Girls"))),AI43=$E$5,$A43&lt;=IF($B$8="One Keeper",$B$5,$B$8)),3,$B$9)))))))</f>
        <v>1</v>
      </c>
      <c r="AW43" s="20" t="b">
        <f>IF(AJ43="",FALSE,AND(AJ43&lt;&gt;$B43,AJ43&lt;&gt;$C42,IFERROR(INDEX($E$18:$E$30,MATCH(AJ43,$B$18:$B$30,0)),"No")="Yes",IF(AND(OR($B$3="Stage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Girls"))),$B$5&gt;20),MIN(3,MAX(2,Setup!$B$14)),2))*2),AJ43=$E$5,IF(AND(OR($B$3="Stage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Girls"))),$B$5&gt;20),MIN(3,MAX(2,Setup!$B$14)),2))*2-1))),AJ43=$E$4,TRUE)),COUNTIF($C$32:$C42,AJ43)&lt;$B$6,IF($BI43,COUNTIF($C$32:$C42,AJ43)&lt;IF($B$3="Stage 1",MIN($B$6,MAX(1,INT($B$5/$B$11))),IF(AND($B$3="Stage 3",$B$5=20,$B$11&gt;11),1,IF(AND($B$3="Stage 3",OR($B$15="Year 10-11-12 Girls"),$B$5&gt;20),MAX(2,Setup!$B$14),Setup!$B$14))),IF(AND($B$3&lt;&gt;"Stage 2",$B$3&lt;&gt;"Stage 3"),TRUE,IF($U43,TRUE,COUNTIF($C$32:$C42,AJ43)&lt;IF(AND($B$3="Stage 2",$B$5=20,AJ43=$E$5,$A43&lt;=IF($B$8="One Keeper",$B$5,$B$8)),2,IF(AND(OR($B$3="Stage 2",AND($B$3="Stage 3",OR($B$15="Year 10-11-12 Girls"))),AJ43=$E$5,$A43&lt;=IF($B$8="One Keeper",$B$5,$B$8)),3,$B$9)))))))</f>
        <v>0</v>
      </c>
      <c r="AX43" s="20" t="b">
        <f>IF(AK43="",FALSE,AND(AK43&lt;&gt;$B43,AK43&lt;&gt;$C42,IFERROR(INDEX($E$18:$E$30,MATCH(AK43,$B$18:$B$30,0)),"No")="Yes",IF(AND(OR($B$3="Stage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Girls"))),$B$5&gt;20),MIN(3,MAX(2,Setup!$B$14)),2))*2),AK43=$E$5,IF(AND(OR($B$3="Stage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Girls"))),$B$5&gt;20),MIN(3,MAX(2,Setup!$B$14)),2))*2-1))),AK43=$E$4,TRUE)),COUNTIF($C$32:$C42,AK43)&lt;$B$6,IF($BI43,COUNTIF($C$32:$C42,AK43)&lt;IF($B$3="Stage 1",MIN($B$6,MAX(1,INT($B$5/$B$11))),IF(AND($B$3="Stage 3",$B$5=20,$B$11&gt;11),1,IF(AND($B$3="Stage 3",OR($B$15="Year 10-11-12 Girls"),$B$5&gt;20),MAX(2,Setup!$B$14),Setup!$B$14))),IF(AND($B$3&lt;&gt;"Stage 2",$B$3&lt;&gt;"Stage 3"),TRUE,IF($U43,TRUE,COUNTIF($C$32:$C42,AK43)&lt;IF(AND($B$3="Stage 2",$B$5=20,AK43=$E$5,$A43&lt;=IF($B$8="One Keeper",$B$5,$B$8)),2,IF(AND(OR($B$3="Stage 2",AND($B$3="Stage 3",OR($B$15="Year 10-11-12 Girls"))),AK43=$E$5,$A43&lt;=IF($B$8="One Keeper",$B$5,$B$8)),3,$B$9)))))))</f>
        <v>0</v>
      </c>
      <c r="AY43" s="20" t="b">
        <f>IF(AL43="",FALSE,AND(AL43&lt;&gt;$B43,AL43&lt;&gt;$C42,IFERROR(INDEX($E$18:$E$30,MATCH(AL43,$B$18:$B$30,0)),"No")="Yes",IF(AND(OR($B$3="Stage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Girls"))),$B$5&gt;20),MIN(3,MAX(2,Setup!$B$14)),2))*2),AL43=$E$5,IF(AND(OR($B$3="Stage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Girls"))),$B$5&gt;20),MIN(3,MAX(2,Setup!$B$14)),2))*2-1))),AL43=$E$4,TRUE)),COUNTIF($C$32:$C42,AL43)&lt;$B$6,IF($BI43,COUNTIF($C$32:$C42,AL43)&lt;IF($B$3="Stage 1",MIN($B$6,MAX(1,INT($B$5/$B$11))),IF(AND($B$3="Stage 3",$B$5=20,$B$11&gt;11),1,IF(AND($B$3="Stage 3",OR($B$15="Year 10-11-12 Girls"),$B$5&gt;20),MAX(2,Setup!$B$14),Setup!$B$14))),IF(AND($B$3&lt;&gt;"Stage 2",$B$3&lt;&gt;"Stage 3"),TRUE,IF($U43,TRUE,COUNTIF($C$32:$C42,AL43)&lt;IF(AND($B$3="Stage 2",$B$5=20,AL43=$E$5,$A43&lt;=IF($B$8="One Keeper",$B$5,$B$8)),2,IF(AND(OR($B$3="Stage 2",AND($B$3="Stage 3",OR($B$15="Year 10-11-12 Girls"))),AL43=$E$5,$A43&lt;=IF($B$8="One Keeper",$B$5,$B$8)),3,$B$9)))))))</f>
        <v>0</v>
      </c>
      <c r="AZ43" s="20" t="b">
        <f>IF(AM43="",FALSE,AND(AM43&lt;&gt;$B43,AM43&lt;&gt;$C42,IFERROR(INDEX($E$18:$E$30,MATCH(AM43,$B$18:$B$30,0)),"No")="Yes",IF(AND(OR($B$3="Stage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Girls"))),$B$5&gt;20),MIN(3,MAX(2,Setup!$B$14)),2))*2),AM43=$E$5,IF(AND(OR($B$3="Stage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Girls"))),$B$5&gt;20),MIN(3,MAX(2,Setup!$B$14)),2))*2-1))),AM43=$E$4,TRUE)),COUNTIF($C$32:$C42,AM43)&lt;$B$6,IF($BI43,COUNTIF($C$32:$C42,AM43)&lt;IF($B$3="Stage 1",MIN($B$6,MAX(1,INT($B$5/$B$11))),IF(AND($B$3="Stage 3",$B$5=20,$B$11&gt;11),1,IF(AND($B$3="Stage 3",OR($B$15="Year 10-11-12 Girls"),$B$5&gt;20),MAX(2,Setup!$B$14),Setup!$B$14))),IF(AND($B$3&lt;&gt;"Stage 2",$B$3&lt;&gt;"Stage 3"),TRUE,IF($U43,TRUE,COUNTIF($C$32:$C42,AM43)&lt;IF(AND($B$3="Stage 2",$B$5=20,AM43=$E$5,$A43&lt;=IF($B$8="One Keeper",$B$5,$B$8)),2,IF(AND(OR($B$3="Stage 2",AND($B$3="Stage 3",OR($B$15="Year 10-11-12 Girls"))),AM43=$E$5,$A43&lt;=IF($B$8="One Keeper",$B$5,$B$8)),3,$B$9)))))))</f>
        <v>0</v>
      </c>
      <c r="BA43" s="20" t="b">
        <f>IF(AN43="",FALSE,AND(AN43&lt;&gt;$B43,AN43&lt;&gt;$C42,IFERROR(INDEX($E$18:$E$30,MATCH(AN43,$B$18:$B$30,0)),"No")="Yes",IF(AND(OR($B$3="Stage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Girls"))),$B$5&gt;20),MIN(3,MAX(2,Setup!$B$14)),2))*2),AN43=$E$5,IF(AND(OR($B$3="Stage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Girls"))),$B$5&gt;20),MIN(3,MAX(2,Setup!$B$14)),2))*2-1))),AN43=$E$4,TRUE)),COUNTIF($C$32:$C42,AN43)&lt;$B$6,IF($BI43,COUNTIF($C$32:$C42,AN43)&lt;IF($B$3="Stage 1",MIN($B$6,MAX(1,INT($B$5/$B$11))),IF(AND($B$3="Stage 3",$B$5=20,$B$11&gt;11),1,IF(AND($B$3="Stage 3",OR($B$15="Year 10-11-12 Girls"),$B$5&gt;20),MAX(2,Setup!$B$14),Setup!$B$14))),IF(AND($B$3&lt;&gt;"Stage 2",$B$3&lt;&gt;"Stage 3"),TRUE,IF($U43,TRUE,COUNTIF($C$32:$C42,AN43)&lt;IF(AND($B$3="Stage 2",$B$5=20,AN43=$E$5,$A43&lt;=IF($B$8="One Keeper",$B$5,$B$8)),2,IF(AND(OR($B$3="Stage 2",AND($B$3="Stage 3",OR($B$15="Year 10-11-12 Girls"))),AN43=$E$5,$A43&lt;=IF($B$8="One Keeper",$B$5,$B$8)),3,$B$9)))))))</f>
        <v>0</v>
      </c>
      <c r="BB43" s="20" t="b">
        <f>IF(AO43="",FALSE,AND(AO43&lt;&gt;$B43,AO43&lt;&gt;$C42,IFERROR(INDEX($E$18:$E$30,MATCH(AO43,$B$18:$B$30,0)),"No")="Yes",IF(AND(OR($B$3="Stage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Girls"))),$B$5&gt;20),MIN(3,MAX(2,Setup!$B$14)),2))*2),AO43=$E$5,IF(AND(OR($B$3="Stage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Girls"))),$B$5&gt;20),MIN(3,MAX(2,Setup!$B$14)),2))*2-1))),AO43=$E$4,TRUE)),COUNTIF($C$32:$C42,AO43)&lt;$B$6,IF($BI43,COUNTIF($C$32:$C42,AO43)&lt;IF($B$3="Stage 1",MIN($B$6,MAX(1,INT($B$5/$B$11))),IF(AND($B$3="Stage 3",$B$5=20,$B$11&gt;11),1,IF(AND($B$3="Stage 3",OR($B$15="Year 10-11-12 Girls"),$B$5&gt;20),MAX(2,Setup!$B$14),Setup!$B$14))),IF(AND($B$3&lt;&gt;"Stage 2",$B$3&lt;&gt;"Stage 3"),TRUE,IF($U43,TRUE,COUNTIF($C$32:$C42,AO43)&lt;IF(AND($B$3="Stage 2",$B$5=20,AO43=$E$5,$A43&lt;=IF($B$8="One Keeper",$B$5,$B$8)),2,IF(AND(OR($B$3="Stage 2",AND($B$3="Stage 3",OR($B$15="Year 10-11-12 Girls"))),AO43=$E$5,$A43&lt;=IF($B$8="One Keeper",$B$5,$B$8)),3,$B$9)))))))</f>
        <v>1</v>
      </c>
      <c r="BC43" s="20" t="b">
        <f>IF(AP43="",FALSE,AND(AP43&lt;&gt;$B43,AP43&lt;&gt;$C42,IFERROR(INDEX($E$18:$E$30,MATCH(AP43,$B$18:$B$30,0)),"No")="Yes",IF(AND(OR($B$3="Stage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Girls"))),$B$5&gt;20),MIN(3,MAX(2,Setup!$B$14)),2))*2),AP43=$E$5,IF(AND(OR($B$3="Stage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Girls"))),$B$5&gt;20),MIN(3,MAX(2,Setup!$B$14)),2))*2-1))),AP43=$E$4,TRUE)),COUNTIF($C$32:$C42,AP43)&lt;$B$6,IF($BI43,COUNTIF($C$32:$C42,AP43)&lt;IF($B$3="Stage 1",MIN($B$6,MAX(1,INT($B$5/$B$11))),IF(AND($B$3="Stage 3",$B$5=20,$B$11&gt;11),1,IF(AND($B$3="Stage 3",OR($B$15="Year 10-11-12 Girls"),$B$5&gt;20),MAX(2,Setup!$B$14),Setup!$B$14))),IF(AND($B$3&lt;&gt;"Stage 2",$B$3&lt;&gt;"Stage 3"),TRUE,IF($U43,TRUE,COUNTIF($C$32:$C42,AP43)&lt;IF(AND($B$3="Stage 2",$B$5=20,AP43=$E$5,$A43&lt;=IF($B$8="One Keeper",$B$5,$B$8)),2,IF(AND(OR($B$3="Stage 2",AND($B$3="Stage 3",OR($B$15="Year 10-11-12 Girls"))),AP43=$E$5,$A43&lt;=IF($B$8="One Keeper",$B$5,$B$8)),3,$B$9)))))))</f>
        <v>1</v>
      </c>
      <c r="BD43" s="20" t="b">
        <f>IF(AQ43="",FALSE,AND(AQ43&lt;&gt;$B43,AQ43&lt;&gt;$C42,IFERROR(INDEX($E$18:$E$30,MATCH(AQ43,$B$18:$B$30,0)),"No")="Yes",IF(AND(OR($B$3="Stage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Girls"))),$B$5&gt;20),MIN(3,MAX(2,Setup!$B$14)),2))*2),AQ43=$E$5,IF(AND(OR($B$3="Stage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Girls"))),$B$5&gt;20),MIN(3,MAX(2,Setup!$B$14)),2))*2-1))),AQ43=$E$4,TRUE)),COUNTIF($C$32:$C42,AQ43)&lt;$B$6,IF($BI43,COUNTIF($C$32:$C42,AQ43)&lt;IF($B$3="Stage 1",MIN($B$6,MAX(1,INT($B$5/$B$11))),IF(AND($B$3="Stage 3",$B$5=20,$B$11&gt;11),1,IF(AND($B$3="Stage 3",OR($B$15="Year 10-11-12 Girls"),$B$5&gt;20),MAX(2,Setup!$B$14),Setup!$B$14))),IF(AND($B$3&lt;&gt;"Stage 2",$B$3&lt;&gt;"Stage 3"),TRUE,IF($U43,TRUE,COUNTIF($C$32:$C42,AQ43)&lt;IF(AND($B$3="Stage 2",$B$5=20,AQ43=$E$5,$A43&lt;=IF($B$8="One Keeper",$B$5,$B$8)),2,IF(AND(OR($B$3="Stage 2",AND($B$3="Stage 3",OR($B$15="Year 10-11-12 Girls"))),AQ43=$E$5,$A43&lt;=IF($B$8="One Keeper",$B$5,$B$8)),3,$B$9)))))))</f>
        <v>0</v>
      </c>
      <c r="BE43" s="20" t="b">
        <f>IF(AR43="",FALSE,AND(AR43&lt;&gt;$B43,AR43&lt;&gt;$C42,IFERROR(INDEX($E$18:$E$30,MATCH(AR43,$B$18:$B$30,0)),"No")="Yes",IF(AND(OR($B$3="Stage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Girls"))),$B$5&gt;20),MIN(3,MAX(2,Setup!$B$14)),2))*2),AR43=$E$5,IF(AND(OR($B$3="Stage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Girls"))),$B$5&gt;20),MIN(3,MAX(2,Setup!$B$14)),2))*2-1))),AR43=$E$4,TRUE)),COUNTIF($C$32:$C42,AR43)&lt;$B$6,IF($BI43,COUNTIF($C$32:$C42,AR43)&lt;IF($B$3="Stage 1",MIN($B$6,MAX(1,INT($B$5/$B$11))),IF(AND($B$3="Stage 3",$B$5=20,$B$11&gt;11),1,IF(AND($B$3="Stage 3",OR($B$15="Year 10-11-12 Girls"),$B$5&gt;20),MAX(2,Setup!$B$14),Setup!$B$14))),IF(AND($B$3&lt;&gt;"Stage 2",$B$3&lt;&gt;"Stage 3"),TRUE,IF($U43,TRUE,COUNTIF($C$32:$C42,AR43)&lt;IF(AND($B$3="Stage 2",$B$5=20,AR43=$E$5,$A43&lt;=IF($B$8="One Keeper",$B$5,$B$8)),2,IF(AND(OR($B$3="Stage 2",AND($B$3="Stage 3",OR($B$15="Year 10-11-12 Girls"))),AR43=$E$5,$A43&lt;=IF($B$8="One Keeper",$B$5,$B$8)),3,$B$9)))))))</f>
        <v>0</v>
      </c>
      <c r="BF43" s="20" t="b">
        <f>IF(AS43="",FALSE,AND(AS43&lt;&gt;$B43,AS43&lt;&gt;$C42,IFERROR(INDEX($E$18:$E$30,MATCH(AS43,$B$18:$B$30,0)),"No")="Yes",IF(AND(OR($B$3="Stage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Girls"))),$B$5&gt;20),MIN(3,MAX(2,Setup!$B$14)),2))*2),AS43=$E$5,IF(AND(OR($B$3="Stage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Girls"))),$B$5&gt;20),MIN(3,MAX(2,Setup!$B$14)),2))*2-1))),AS43=$E$4,TRUE)),COUNTIF($C$32:$C42,AS43)&lt;$B$6,IF($BI43,COUNTIF($C$32:$C42,AS43)&lt;IF($B$3="Stage 1",MIN($B$6,MAX(1,INT($B$5/$B$11))),IF(AND($B$3="Stage 3",$B$5=20,$B$11&gt;11),1,IF(AND($B$3="Stage 3",OR($B$15="Year 10-11-12 Girls"),$B$5&gt;20),MAX(2,Setup!$B$14),Setup!$B$14))),IF(AND($B$3&lt;&gt;"Stage 2",$B$3&lt;&gt;"Stage 3"),TRUE,IF($U43,TRUE,COUNTIF($C$32:$C42,AS43)&lt;IF(AND($B$3="Stage 2",$B$5=20,AS43=$E$5,$A43&lt;=IF($B$8="One Keeper",$B$5,$B$8)),2,IF(AND(OR($B$3="Stage 2",AND($B$3="Stage 3",OR($B$15="Year 10-11-12 Girls"))),AS43=$E$5,$A43&lt;=IF($B$8="One Keeper",$B$5,$B$8)),3,$B$9)))))))</f>
        <v>0</v>
      </c>
      <c r="BG43" s="20" t="b">
        <f>IF(AT43="",FALSE,AND(AT43&lt;&gt;$B43,AT43&lt;&gt;$C42,IFERROR(INDEX($E$18:$E$30,MATCH(AT43,$B$18:$B$30,0)),"No")="Yes",IF(AND(OR($B$3="Stage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Girls"))),$B$5&gt;20),MIN(3,MAX(2,Setup!$B$14)),2))*2),AT43=$E$5,IF(AND(OR($B$3="Stage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Girls"))),$B$5&gt;20),MIN(3,MAX(2,Setup!$B$14)),2))*2-1))),AT43=$E$4,TRUE)),COUNTIF($C$32:$C42,AT43)&lt;$B$6,IF($BI43,COUNTIF($C$32:$C42,AT43)&lt;IF($B$3="Stage 1",MIN($B$6,MAX(1,INT($B$5/$B$11))),IF(AND($B$3="Stage 3",$B$5=20,$B$11&gt;11),1,IF(AND($B$3="Stage 3",OR($B$15="Year 10-11-12 Girls"),$B$5&gt;20),MAX(2,Setup!$B$14),Setup!$B$14))),IF(AND($B$3&lt;&gt;"Stage 2",$B$3&lt;&gt;"Stage 3"),TRUE,IF($U43,TRUE,COUNTIF($C$32:$C42,AT43)&lt;IF(AND($B$3="Stage 2",$B$5=20,AT43=$E$5,$A43&lt;=IF($B$8="One Keeper",$B$5,$B$8)),2,IF(AND(OR($B$3="Stage 2",AND($B$3="Stage 3",OR($B$15="Year 10-11-12 Girls"))),AT43=$E$5,$A43&lt;=IF($B$8="One Keeper",$B$5,$B$8)),3,$B$9)))))))</f>
        <v>0</v>
      </c>
      <c r="BH43" s="20" t="b">
        <f>IF(AU43="",FALSE,AND(AU43&lt;&gt;$B43,AU43&lt;&gt;$C42,IFERROR(INDEX($E$18:$E$30,MATCH(AU43,$B$18:$B$30,0)),"No")="Yes",IF(AND(OR($B$3="Stage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Girls"))),$B$5&gt;20),MIN(3,MAX(2,Setup!$B$14)),2))*2),AU43=$E$5,IF(AND(OR($B$3="Stage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Girls"))),$B$5&gt;20),MIN(3,MAX(2,Setup!$B$14)),2))*2-1))),AU43=$E$4,TRUE)),COUNTIF($C$32:$C42,AU43)&lt;$B$6,IF($BI43,COUNTIF($C$32:$C42,AU43)&lt;IF($B$3="Stage 1",MIN($B$6,MAX(1,INT($B$5/$B$11))),IF(AND($B$3="Stage 3",$B$5=20,$B$11&gt;11),1,IF(AND($B$3="Stage 3",OR($B$15="Year 10-11-12 Girls"),$B$5&gt;20),MAX(2,Setup!$B$14),Setup!$B$14))),IF(AND($B$3&lt;&gt;"Stage 2",$B$3&lt;&gt;"Stage 3"),TRUE,IF($U43,TRUE,COUNTIF($C$32:$C42,AU43)&lt;IF(AND($B$3="Stage 2",$B$5=20,AU43=$E$5,$A43&lt;=IF($B$8="One Keeper",$B$5,$B$8)),2,IF(AND(OR($B$3="Stage 2",AND($B$3="Stage 3",OR($B$15="Year 10-11-12 Girls"))),AU43=$E$5,$A43&lt;=IF($B$8="One Keeper",$B$5,$B$8)),3,$B$9)))))))</f>
        <v>0</v>
      </c>
      <c r="BI43"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Keeper",$E$4&lt;&gt;$E$5,$A43&lt;=IF($B$8="One Keeper",$B$5,$B$8),COUNTIF($C$32:$C42,$E$5)&lt;IF(AND($B$3="Stage 3",$B$5=20,$B$11&gt;11),1,IF(AND(OR($B$3="Stage 2",AND($B$3="Stage 3",OR($B$15="Year 10-11-12 Girls"))),$B$5&gt;20),MIN(3,MAX(2,Setup!$B$14)),2)),IFERROR(INDEX($E$18:$E$30,MATCH($E$5,$B$18:$B$30,0)),"No")="Yes",$C42&lt;&gt;$E$5,MOD($A43,2)=0,$A43&lt;=IF(AND($B$3="Stage 3",$B$5=20,$B$11&gt;11),1,IF(AND(OR($B$3="Stage 2",AND($B$3="Stage 3",OR($B$15="Year 10-11-12 Girls"))),$B$5&gt;20),MIN(3,MAX(2,Setup!$B$14)),2))*2),AND(OR($B$3="Stage 1",$B$3="Stage 2",AND($B$3="Stage 3",OR(OR($B$15="Year 10-11-12 Girls"),OR($B$15="Year 8 Boys",$B$15="Year 9 Boys",$B$15="Year 10-11 Boys")))),$B$8&lt;&gt;"One Keeper",$E$4&lt;&gt;$E$5,$A43&gt;IF($B$8="One Keeper",$B$5,$B$8),COUNTIF($C$32:$C42,$E$4)&lt;IF(AND($B$3="Stage 3",$B$5=20,$B$11&gt;11),1,IF(AND(OR($B$3="Stage 2",AND($B$3="Stage 3",OR($B$15="Year 10-11-12 Girls"))),$B$5&gt;20),MIN(3,MAX(2,Setup!$B$14)),2)),IFERROR(INDEX($E$18:$E$30,MATCH($E$4,$B$18:$B$30,0)),"No")="Yes",$C42&lt;&gt;$E$4,IF($B$7="Three-over spell",AND(MOD($A43-IF($B$8="One Keeper",$B$5,$B$8)-1,3)=0,($A43-IF($B$8="One Keeper",$B$5,$B$8))&lt;=1+(IF(AND($B$3="Stage 3",$B$5=20,$B$11&gt;11),1,IF(AND(OR($B$3="Stage 2",AND($B$3="Stage 3",OR($B$15="Year 10-11-12 Girls"))),$B$5&gt;20),MIN(3,MAX(2,Setup!$B$14)),2))-1)*3),AND(MOD($A43-IF($B$8="One Keeper",$B$5,$B$8),2)=1,($A43-IF($B$8="One Keeper",$B$5,$B$8))&lt;=IF(AND($B$3="Stage 3",$B$5=20,$B$11&gt;11),1,IF(AND(OR($B$3="Stage 2",AND($B$3="Stage 3",OR($B$15="Year 10-11-12 Girls"))),$B$5&gt;20),MIN(3,MAX(2,Setup!$B$14)),2))*2-1))))),OR($U43,AND($B$3="Stage 3",$B$5=20,$B$11&gt;11)),OR($BJ43,$BK43,$BL43,$BM43,$BN43,$BO43,$BP43,$BQ43,$BR43,$BS43,$BT43,$BU43,$BV43))</f>
        <v>1</v>
      </c>
      <c r="BJ43" s="20" t="b">
        <f>IF(AI43="",FALSE,AND(AI43&lt;&gt;IF(AND($B$3="Stage 3",OR($B$15="Year 8 Boys",$B$15="Year 9 Boys",$B$15="Year 10-11 Boys"),$B$8="One Keeper"),$E$4,""),AI43&lt;&gt;$B43,AI43&lt;&gt;$C42,IFERROR(INDEX($E$18:$E$30,MATCH(AI43,$B$18:$B$30,0)),"No")="Yes",COUNTIF($C$32:$C42,AI43)&lt;$B$6,COUNTIF($C$32:$C42,AI43)&lt;IF($B$3="Stage 1",MIN($B$6,MAX(1,INT($B$5/$B$11))),IF(AND($B$3="Stage 3",$B$5=20,$B$11&gt;11),1,IF(AND($B$3="Stage 3",OR($B$15="Year 10-11-12 Girls"),$B$5&gt;20),MAX(2,Setup!$B$14),Setup!$B$14)))))</f>
        <v>1</v>
      </c>
      <c r="BK43" s="20" t="b">
        <f>IF(AJ43="",FALSE,AND(AJ43&lt;&gt;IF(AND($B$3="Stage 3",OR($B$15="Year 8 Boys",$B$15="Year 9 Boys",$B$15="Year 10-11 Boys"),$B$8="One Keeper"),$E$4,""),AJ43&lt;&gt;$B43,AJ43&lt;&gt;$C42,IFERROR(INDEX($E$18:$E$30,MATCH(AJ43,$B$18:$B$30,0)),"No")="Yes",COUNTIF($C$32:$C42,AJ43)&lt;$B$6,COUNTIF($C$32:$C42,AJ43)&lt;IF($B$3="Stage 1",MIN($B$6,MAX(1,INT($B$5/$B$11))),IF(AND($B$3="Stage 3",$B$5=20,$B$11&gt;11),1,IF(AND($B$3="Stage 3",OR($B$15="Year 10-11-12 Girls"),$B$5&gt;20),MAX(2,Setup!$B$14),Setup!$B$14)))))</f>
        <v>0</v>
      </c>
      <c r="BL43" s="20" t="b">
        <f>IF(AK43="",FALSE,AND(AK43&lt;&gt;IF(AND($B$3="Stage 3",OR($B$15="Year 8 Boys",$B$15="Year 9 Boys",$B$15="Year 10-11 Boys"),$B$8="One Keeper"),$E$4,""),AK43&lt;&gt;$B43,AK43&lt;&gt;$C42,IFERROR(INDEX($E$18:$E$30,MATCH(AK43,$B$18:$B$30,0)),"No")="Yes",COUNTIF($C$32:$C42,AK43)&lt;$B$6,COUNTIF($C$32:$C42,AK43)&lt;IF($B$3="Stage 1",MIN($B$6,MAX(1,INT($B$5/$B$11))),IF(AND($B$3="Stage 3",$B$5=20,$B$11&gt;11),1,IF(AND($B$3="Stage 3",OR($B$15="Year 10-11-12 Girls"),$B$5&gt;20),MAX(2,Setup!$B$14),Setup!$B$14)))))</f>
        <v>0</v>
      </c>
      <c r="BM43" s="20" t="b">
        <f>IF(AL43="",FALSE,AND(AL43&lt;&gt;IF(AND($B$3="Stage 3",OR($B$15="Year 8 Boys",$B$15="Year 9 Boys",$B$15="Year 10-11 Boys"),$B$8="One Keeper"),$E$4,""),AL43&lt;&gt;$B43,AL43&lt;&gt;$C42,IFERROR(INDEX($E$18:$E$30,MATCH(AL43,$B$18:$B$30,0)),"No")="Yes",COUNTIF($C$32:$C42,AL43)&lt;$B$6,COUNTIF($C$32:$C42,AL43)&lt;IF($B$3="Stage 1",MIN($B$6,MAX(1,INT($B$5/$B$11))),IF(AND($B$3="Stage 3",$B$5=20,$B$11&gt;11),1,IF(AND($B$3="Stage 3",OR($B$15="Year 10-11-12 Girls"),$B$5&gt;20),MAX(2,Setup!$B$14),Setup!$B$14)))))</f>
        <v>0</v>
      </c>
      <c r="BN43" s="20" t="b">
        <f>IF(AM43="",FALSE,AND(AM43&lt;&gt;IF(AND($B$3="Stage 3",OR($B$15="Year 8 Boys",$B$15="Year 9 Boys",$B$15="Year 10-11 Boys"),$B$8="One Keeper"),$E$4,""),AM43&lt;&gt;$B43,AM43&lt;&gt;$C42,IFERROR(INDEX($E$18:$E$30,MATCH(AM43,$B$18:$B$30,0)),"No")="Yes",COUNTIF($C$32:$C42,AM43)&lt;$B$6,COUNTIF($C$32:$C42,AM43)&lt;IF($B$3="Stage 1",MIN($B$6,MAX(1,INT($B$5/$B$11))),IF(AND($B$3="Stage 3",$B$5=20,$B$11&gt;11),1,IF(AND($B$3="Stage 3",OR($B$15="Year 10-11-12 Girls"),$B$5&gt;20),MAX(2,Setup!$B$14),Setup!$B$14)))))</f>
        <v>0</v>
      </c>
      <c r="BO43" s="20" t="b">
        <f>IF(AN43="",FALSE,AND(AN43&lt;&gt;IF(AND($B$3="Stage 3",OR($B$15="Year 8 Boys",$B$15="Year 9 Boys",$B$15="Year 10-11 Boys"),$B$8="One Keeper"),$E$4,""),AN43&lt;&gt;$B43,AN43&lt;&gt;$C42,IFERROR(INDEX($E$18:$E$30,MATCH(AN43,$B$18:$B$30,0)),"No")="Yes",COUNTIF($C$32:$C42,AN43)&lt;$B$6,COUNTIF($C$32:$C42,AN43)&lt;IF($B$3="Stage 1",MIN($B$6,MAX(1,INT($B$5/$B$11))),IF(AND($B$3="Stage 3",$B$5=20,$B$11&gt;11),1,IF(AND($B$3="Stage 3",OR($B$15="Year 10-11-12 Girls"),$B$5&gt;20),MAX(2,Setup!$B$14),Setup!$B$14)))))</f>
        <v>0</v>
      </c>
      <c r="BP43" s="20" t="b">
        <f>IF(AO43="",FALSE,AND(AO43&lt;&gt;IF(AND($B$3="Stage 3",OR($B$15="Year 8 Boys",$B$15="Year 9 Boys",$B$15="Year 10-11 Boys"),$B$8="One Keeper"),$E$4,""),AO43&lt;&gt;$B43,AO43&lt;&gt;$C42,IFERROR(INDEX($E$18:$E$30,MATCH(AO43,$B$18:$B$30,0)),"No")="Yes",COUNTIF($C$32:$C42,AO43)&lt;$B$6,COUNTIF($C$32:$C42,AO43)&lt;IF($B$3="Stage 1",MIN($B$6,MAX(1,INT($B$5/$B$11))),IF(AND($B$3="Stage 3",$B$5=20,$B$11&gt;11),1,IF(AND($B$3="Stage 3",OR($B$15="Year 10-11-12 Girls"),$B$5&gt;20),MAX(2,Setup!$B$14),Setup!$B$14)))))</f>
        <v>1</v>
      </c>
      <c r="BQ43" s="20" t="b">
        <f>IF(AP43="",FALSE,AND(AP43&lt;&gt;IF(AND($B$3="Stage 3",OR($B$15="Year 8 Boys",$B$15="Year 9 Boys",$B$15="Year 10-11 Boys"),$B$8="One Keeper"),$E$4,""),AP43&lt;&gt;$B43,AP43&lt;&gt;$C42,IFERROR(INDEX($E$18:$E$30,MATCH(AP43,$B$18:$B$30,0)),"No")="Yes",COUNTIF($C$32:$C42,AP43)&lt;$B$6,COUNTIF($C$32:$C42,AP43)&lt;IF($B$3="Stage 1",MIN($B$6,MAX(1,INT($B$5/$B$11))),IF(AND($B$3="Stage 3",$B$5=20,$B$11&gt;11),1,IF(AND($B$3="Stage 3",OR($B$15="Year 10-11-12 Girls"),$B$5&gt;20),MAX(2,Setup!$B$14),Setup!$B$14)))))</f>
        <v>1</v>
      </c>
      <c r="BR43" s="20" t="b">
        <f>IF(AQ43="",FALSE,AND(AQ43&lt;&gt;IF(AND($B$3="Stage 3",OR($B$15="Year 8 Boys",$B$15="Year 9 Boys",$B$15="Year 10-11 Boys"),$B$8="One Keeper"),$E$4,""),AQ43&lt;&gt;$B43,AQ43&lt;&gt;$C42,IFERROR(INDEX($E$18:$E$30,MATCH(AQ43,$B$18:$B$30,0)),"No")="Yes",COUNTIF($C$32:$C42,AQ43)&lt;$B$6,COUNTIF($C$32:$C42,AQ43)&lt;IF($B$3="Stage 1",MIN($B$6,MAX(1,INT($B$5/$B$11))),IF(AND($B$3="Stage 3",$B$5=20,$B$11&gt;11),1,IF(AND($B$3="Stage 3",OR($B$15="Year 10-11-12 Girls"),$B$5&gt;20),MAX(2,Setup!$B$14),Setup!$B$14)))))</f>
        <v>0</v>
      </c>
      <c r="BS43" s="20" t="b">
        <f>IF(AR43="",FALSE,AND(AR43&lt;&gt;IF(AND($B$3="Stage 3",OR($B$15="Year 8 Boys",$B$15="Year 9 Boys",$B$15="Year 10-11 Boys"),$B$8="One Keeper"),$E$4,""),AR43&lt;&gt;$B43,AR43&lt;&gt;$C42,IFERROR(INDEX($E$18:$E$30,MATCH(AR43,$B$18:$B$30,0)),"No")="Yes",COUNTIF($C$32:$C42,AR43)&lt;$B$6,COUNTIF($C$32:$C42,AR43)&lt;IF($B$3="Stage 1",MIN($B$6,MAX(1,INT($B$5/$B$11))),IF(AND($B$3="Stage 3",$B$5=20,$B$11&gt;11),1,IF(AND($B$3="Stage 3",OR($B$15="Year 10-11-12 Girls"),$B$5&gt;20),MAX(2,Setup!$B$14),Setup!$B$14)))))</f>
        <v>0</v>
      </c>
      <c r="BT43" s="20" t="b">
        <f>IF(AS43="",FALSE,AND(AS43&lt;&gt;IF(AND($B$3="Stage 3",OR($B$15="Year 8 Boys",$B$15="Year 9 Boys",$B$15="Year 10-11 Boys"),$B$8="One Keeper"),$E$4,""),AS43&lt;&gt;$B43,AS43&lt;&gt;$C42,IFERROR(INDEX($E$18:$E$30,MATCH(AS43,$B$18:$B$30,0)),"No")="Yes",COUNTIF($C$32:$C42,AS43)&lt;$B$6,COUNTIF($C$32:$C42,AS43)&lt;IF($B$3="Stage 1",MIN($B$6,MAX(1,INT($B$5/$B$11))),IF(AND($B$3="Stage 3",$B$5=20,$B$11&gt;11),1,IF(AND($B$3="Stage 3",OR($B$15="Year 10-11-12 Girls"),$B$5&gt;20),MAX(2,Setup!$B$14),Setup!$B$14)))))</f>
        <v>0</v>
      </c>
      <c r="BU43" s="20" t="b">
        <f>IF(AT43="",FALSE,AND(AT43&lt;&gt;IF(AND($B$3="Stage 3",OR($B$15="Year 8 Boys",$B$15="Year 9 Boys",$B$15="Year 10-11 Boys"),$B$8="One Keeper"),$E$4,""),AT43&lt;&gt;$B43,AT43&lt;&gt;$C42,IFERROR(INDEX($E$18:$E$30,MATCH(AT43,$B$18:$B$30,0)),"No")="Yes",COUNTIF($C$32:$C42,AT43)&lt;$B$6,COUNTIF($C$32:$C42,AT43)&lt;IF($B$3="Stage 1",MIN($B$6,MAX(1,INT($B$5/$B$11))),IF(AND($B$3="Stage 3",$B$5=20,$B$11&gt;11),1,IF(AND($B$3="Stage 3",OR($B$15="Year 10-11-12 Girls"),$B$5&gt;20),MAX(2,Setup!$B$14),Setup!$B$14)))))</f>
        <v>0</v>
      </c>
      <c r="BV43" s="20" t="b">
        <f>IF(AU43="",FALSE,AND(AU43&lt;&gt;IF(AND($B$3="Stage 3",OR($B$15="Year 8 Boys",$B$15="Year 9 Boys",$B$15="Year 10-11 Boys"),$B$8="One Keeper"),$E$4,""),AU43&lt;&gt;$B43,AU43&lt;&gt;$C42,IFERROR(INDEX($E$18:$E$30,MATCH(AU43,$B$18:$B$30,0)),"No")="Yes",COUNTIF($C$32:$C42,AU43)&lt;$B$6,COUNTIF($C$32:$C42,AU43)&lt;IF($B$3="Stage 1",MIN($B$6,MAX(1,INT($B$5/$B$11))),IF(AND($B$3="Stage 3",$B$5=20,$B$11&gt;11),1,IF(AND($B$3="Stage 3",OR($B$15="Year 10-11-12 Girls"),$B$5&gt;20),MAX(2,Setup!$B$14),Setup!$B$14)))))</f>
        <v>0</v>
      </c>
      <c r="BW43" s="20"/>
      <c r="BX43" s="20"/>
      <c r="BY43" s="20"/>
      <c r="BZ43" s="20"/>
      <c r="CA43" s="20"/>
      <c r="CB43" s="20"/>
      <c r="CC43" s="20"/>
      <c r="CD43" s="20"/>
      <c r="CE43" s="20"/>
      <c r="CF43" s="20"/>
      <c r="CG43" s="20"/>
      <c r="CH43" s="20"/>
      <c r="CI43" s="20"/>
      <c r="CJ43" s="20"/>
      <c r="CK43" s="20"/>
    </row>
    <row r="44" spans="1:89" ht="15" customHeight="1">
      <c r="A44" s="18">
        <v>13</v>
      </c>
      <c r="B44" s="18" t="str">
        <f t="shared" si="5"/>
        <v>Player 2</v>
      </c>
      <c r="C44" s="18" t="str">
        <f t="shared" si="6"/>
        <v>Player 1</v>
      </c>
      <c r="D44" s="18">
        <f t="shared" si="7"/>
        <v>6</v>
      </c>
      <c r="E44" s="18">
        <f>IF($C44="","",COUNTIF($C$32:C44,$C44))</f>
        <v>2</v>
      </c>
      <c r="F44" s="18" t="str">
        <f t="shared" si="8"/>
        <v/>
      </c>
      <c r="H44" s="18" t="str">
        <f t="shared" si="9"/>
        <v/>
      </c>
      <c r="I44" s="18" t="str">
        <f t="shared" si="10"/>
        <v/>
      </c>
      <c r="J44" s="18" t="str">
        <f t="shared" si="11"/>
        <v/>
      </c>
      <c r="K44" s="18" t="str">
        <f>IF($H44="","",IF($B$3="Stage 1","",IF($B$10="Finals","Finals",IF($B$3="Stage 2",IF($B$5=20,IF($B$11=11,IF($I44&gt;=1,"OK","Needs 1+"),IF($I44&gt;=2,"OK","Needs 2")),IF($B$5=30,IF($I44&gt;=2,"OK","Needs 2"),IF($I44&gt;=Setup!$B$14,"OK","Below target"))),IF($B$3="Stage 3",IF(OR($B$15="Year 8 Boys",$B$15="Year 9 Boys",$B$15="Year 10-11 Boys"),"Team rule",IF($B$5=20,IF($B$11&gt;10,IF($I44&gt;=1,"OK","Needs 1+"),IF($I44&gt;=2,"OK","Needs 2")),IF($I44&gt;=MAX(2,Setup!$B$14),"OK","Needs "&amp;MAX(2,Setup!$B$14)))),"")))))</f>
        <v/>
      </c>
      <c r="L44" s="18" t="str">
        <f t="shared" si="12"/>
        <v/>
      </c>
      <c r="M44" s="18" t="str">
        <f t="shared" si="13"/>
        <v/>
      </c>
      <c r="N44" s="18" t="str">
        <f t="shared" si="14"/>
        <v/>
      </c>
      <c r="T44" s="20">
        <f t="shared" si="15"/>
        <v>6</v>
      </c>
      <c r="U44" s="20" t="b">
        <f>IF(OR($B$3="Stage 2",AND($B$3="Stage 3",OR($B$15="Year 10-11-12 Girls"))),(IF(AND($P$18&lt;&gt;"",$P$18&lt;&gt;$E$4,COUNTIF($C$32:$C43,$P$18)&gt;=2),1,0)+IF(AND($P$19&lt;&gt;"",$P$19&lt;&gt;$E$4,COUNTIF($C$32:$C43,$P$19)&gt;=2),1,0)+IF(AND($P$20&lt;&gt;"",$P$20&lt;&gt;$E$4,COUNTIF($C$32:$C43,$P$20)&gt;=2),1,0)+IF(AND($P$21&lt;&gt;"",$P$21&lt;&gt;$E$4,COUNTIF($C$32:$C43,$P$21)&gt;=2),1,0)+IF(AND($P$22&lt;&gt;"",$P$22&lt;&gt;$E$4,COUNTIF($C$32:$C43,$P$22)&gt;=2),1,0)+IF(AND($P$23&lt;&gt;"",$P$23&lt;&gt;$E$4,COUNTIF($C$32:$C43,$P$23)&gt;=2),1,0)+IF(AND($P$24&lt;&gt;"",$P$24&lt;&gt;$E$4,COUNTIF($C$32:$C43,$P$24)&gt;=2),1,0)+IF(AND($P$25&lt;&gt;"",$P$25&lt;&gt;$E$4,COUNTIF($C$32:$C43,$P$25)&gt;=2),1,0)+IF(AND($P$26&lt;&gt;"",$P$26&lt;&gt;$E$4,COUNTIF($C$32:$C43,$P$26)&gt;=2),1,0)+IF(AND($P$27&lt;&gt;"",$P$27&lt;&gt;$E$4,COUNTIF($C$32:$C43,$P$27)&gt;=2),1,0)+IF(AND($P$28&lt;&gt;"",$P$28&lt;&gt;$E$4,COUNTIF($C$32:$C43,$P$28)&gt;=2),1,0)+IF(AND($P$29&lt;&gt;"",$P$29&lt;&gt;$E$4,COUNTIF($C$32:$C43,$P$29)&gt;=2),1,0)+IF(AND($P$30&lt;&gt;"",$P$30&lt;&gt;$E$4,COUNTIF($C$32:$C43,$P$30)&gt;=2),1,0))&gt;=MAX(0,$B$11-1),IF(AND($B$3="Stage 3",OR($B$15="Year 8 Boys",$B$15="Year 9 Boys",$B$15="Year 10-11 Boys")),(IF(AND($P$18&lt;&gt;"",COUNTIF($C$32:$C43,$P$18)&gt;=2),1,0)+IF(AND($P$19&lt;&gt;"",COUNTIF($C$32:$C43,$P$19)&gt;=2),1,0)+IF(AND($P$20&lt;&gt;"",COUNTIF($C$32:$C43,$P$20)&gt;=2),1,0)+IF(AND($P$21&lt;&gt;"",COUNTIF($C$32:$C43,$P$21)&gt;=2),1,0)+IF(AND($P$22&lt;&gt;"",COUNTIF($C$32:$C43,$P$22)&gt;=2),1,0)+IF(AND($P$23&lt;&gt;"",COUNTIF($C$32:$C43,$P$23)&gt;=2),1,0)+IF(AND($P$24&lt;&gt;"",COUNTIF($C$32:$C43,$P$24)&gt;=2),1,0)+IF(AND($P$25&lt;&gt;"",COUNTIF($C$32:$C43,$P$25)&gt;=2),1,0)+IF(AND($P$26&lt;&gt;"",COUNTIF($C$32:$C43,$P$26)&gt;=2),1,0)+IF(AND($P$27&lt;&gt;"",COUNTIF($C$32:$C43,$P$27)&gt;=2),1,0)+IF(AND($P$28&lt;&gt;"",COUNTIF($C$32:$C43,$P$28)&gt;=2),1,0)+IF(AND($P$29&lt;&gt;"",COUNTIF($C$32:$C43,$P$29)&gt;=2),1,0)+IF(AND($P$30&lt;&gt;"",COUNTIF($C$32:$C43,$P$30)&gt;=2),1,0))&gt;=7,TRUE))</f>
        <v>1</v>
      </c>
      <c r="V44" s="20">
        <f t="shared" si="30"/>
        <v>6</v>
      </c>
      <c r="W44" s="20">
        <f t="shared" si="30"/>
        <v>7</v>
      </c>
      <c r="X44" s="20">
        <f t="shared" si="30"/>
        <v>1</v>
      </c>
      <c r="Y44" s="20">
        <f t="shared" si="30"/>
        <v>2</v>
      </c>
      <c r="Z44" s="20">
        <f t="shared" si="30"/>
        <v>3</v>
      </c>
      <c r="AA44" s="20">
        <f t="shared" si="30"/>
        <v>4</v>
      </c>
      <c r="AB44" s="20">
        <f t="shared" si="30"/>
        <v>5</v>
      </c>
      <c r="AC44" s="20">
        <f t="shared" si="30"/>
        <v>6</v>
      </c>
      <c r="AD44" s="20">
        <f t="shared" si="30"/>
        <v>7</v>
      </c>
      <c r="AE44" s="20">
        <f t="shared" si="30"/>
        <v>1</v>
      </c>
      <c r="AF44" s="20">
        <f t="shared" si="30"/>
        <v>2</v>
      </c>
      <c r="AG44" s="20">
        <f t="shared" si="30"/>
        <v>3</v>
      </c>
      <c r="AH44" s="20">
        <f t="shared" si="30"/>
        <v>4</v>
      </c>
      <c r="AI44" s="20" t="str">
        <f t="shared" si="17"/>
        <v>Player 1</v>
      </c>
      <c r="AJ44" s="20" t="str">
        <f t="shared" si="18"/>
        <v>Player 2</v>
      </c>
      <c r="AK44" s="20" t="str">
        <f t="shared" si="19"/>
        <v>Player 3</v>
      </c>
      <c r="AL44" s="20" t="str">
        <f t="shared" si="20"/>
        <v>Player 4</v>
      </c>
      <c r="AM44" s="20" t="str">
        <f t="shared" si="21"/>
        <v>Player 5</v>
      </c>
      <c r="AN44" s="20" t="str">
        <f t="shared" si="22"/>
        <v>Player 6</v>
      </c>
      <c r="AO44" s="20" t="str">
        <f t="shared" si="23"/>
        <v>Player 7</v>
      </c>
      <c r="AP44" s="20" t="str">
        <f t="shared" si="24"/>
        <v>Player 1</v>
      </c>
      <c r="AQ44" s="20" t="str">
        <f t="shared" si="25"/>
        <v>Player 2</v>
      </c>
      <c r="AR44" s="20" t="str">
        <f t="shared" si="26"/>
        <v>Player 3</v>
      </c>
      <c r="AS44" s="20" t="str">
        <f t="shared" si="27"/>
        <v>Player 4</v>
      </c>
      <c r="AT44" s="20" t="str">
        <f t="shared" si="28"/>
        <v>Player 5</v>
      </c>
      <c r="AU44" s="20" t="str">
        <f t="shared" si="29"/>
        <v>Player 6</v>
      </c>
      <c r="AV44" s="20" t="b">
        <f>IF(AI44="",FALSE,AND(AI44&lt;&gt;$B44,AI44&lt;&gt;$C43,IFERROR(INDEX($E$18:$E$30,MATCH(AI44,$B$18:$B$30,0)),"No")="Yes",IF(AND(OR($B$3="Stage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Girls"))),$B$5&gt;20),MIN(3,MAX(2,Setup!$B$14)),2))*2),AI44=$E$5,IF(AND(OR($B$3="Stage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Girls"))),$B$5&gt;20),MIN(3,MAX(2,Setup!$B$14)),2))*2-1))),AI44=$E$4,TRUE)),COUNTIF($C$32:$C43,AI44)&lt;$B$6,IF($BI44,COUNTIF($C$32:$C43,AI44)&lt;IF($B$3="Stage 1",MIN($B$6,MAX(1,INT($B$5/$B$11))),IF(AND($B$3="Stage 3",$B$5=20,$B$11&gt;11),1,IF(AND($B$3="Stage 3",OR($B$15="Year 10-11-12 Girls"),$B$5&gt;20),MAX(2,Setup!$B$14),Setup!$B$14))),IF(AND($B$3&lt;&gt;"Stage 2",$B$3&lt;&gt;"Stage 3"),TRUE,IF($U44,TRUE,COUNTIF($C$32:$C43,AI44)&lt;IF(AND($B$3="Stage 2",$B$5=20,AI44=$E$5,$A44&lt;=IF($B$8="One Keeper",$B$5,$B$8)),2,IF(AND(OR($B$3="Stage 2",AND($B$3="Stage 3",OR($B$15="Year 10-11-12 Girls"))),AI44=$E$5,$A44&lt;=IF($B$8="One Keeper",$B$5,$B$8)),3,$B$9)))))))</f>
        <v>1</v>
      </c>
      <c r="AW44" s="20" t="b">
        <f>IF(AJ44="",FALSE,AND(AJ44&lt;&gt;$B44,AJ44&lt;&gt;$C43,IFERROR(INDEX($E$18:$E$30,MATCH(AJ44,$B$18:$B$30,0)),"No")="Yes",IF(AND(OR($B$3="Stage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Girls"))),$B$5&gt;20),MIN(3,MAX(2,Setup!$B$14)),2))*2),AJ44=$E$5,IF(AND(OR($B$3="Stage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Girls"))),$B$5&gt;20),MIN(3,MAX(2,Setup!$B$14)),2))*2-1))),AJ44=$E$4,TRUE)),COUNTIF($C$32:$C43,AJ44)&lt;$B$6,IF($BI44,COUNTIF($C$32:$C43,AJ44)&lt;IF($B$3="Stage 1",MIN($B$6,MAX(1,INT($B$5/$B$11))),IF(AND($B$3="Stage 3",$B$5=20,$B$11&gt;11),1,IF(AND($B$3="Stage 3",OR($B$15="Year 10-11-12 Girls"),$B$5&gt;20),MAX(2,Setup!$B$14),Setup!$B$14))),IF(AND($B$3&lt;&gt;"Stage 2",$B$3&lt;&gt;"Stage 3"),TRUE,IF($U44,TRUE,COUNTIF($C$32:$C43,AJ44)&lt;IF(AND($B$3="Stage 2",$B$5=20,AJ44=$E$5,$A44&lt;=IF($B$8="One Keeper",$B$5,$B$8)),2,IF(AND(OR($B$3="Stage 2",AND($B$3="Stage 3",OR($B$15="Year 10-11-12 Girls"))),AJ44=$E$5,$A44&lt;=IF($B$8="One Keeper",$B$5,$B$8)),3,$B$9)))))))</f>
        <v>0</v>
      </c>
      <c r="AX44" s="20" t="b">
        <f>IF(AK44="",FALSE,AND(AK44&lt;&gt;$B44,AK44&lt;&gt;$C43,IFERROR(INDEX($E$18:$E$30,MATCH(AK44,$B$18:$B$30,0)),"No")="Yes",IF(AND(OR($B$3="Stage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Girls"))),$B$5&gt;20),MIN(3,MAX(2,Setup!$B$14)),2))*2),AK44=$E$5,IF(AND(OR($B$3="Stage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Girls"))),$B$5&gt;20),MIN(3,MAX(2,Setup!$B$14)),2))*2-1))),AK44=$E$4,TRUE)),COUNTIF($C$32:$C43,AK44)&lt;$B$6,IF($BI44,COUNTIF($C$32:$C43,AK44)&lt;IF($B$3="Stage 1",MIN($B$6,MAX(1,INT($B$5/$B$11))),IF(AND($B$3="Stage 3",$B$5=20,$B$11&gt;11),1,IF(AND($B$3="Stage 3",OR($B$15="Year 10-11-12 Girls"),$B$5&gt;20),MAX(2,Setup!$B$14),Setup!$B$14))),IF(AND($B$3&lt;&gt;"Stage 2",$B$3&lt;&gt;"Stage 3"),TRUE,IF($U44,TRUE,COUNTIF($C$32:$C43,AK44)&lt;IF(AND($B$3="Stage 2",$B$5=20,AK44=$E$5,$A44&lt;=IF($B$8="One Keeper",$B$5,$B$8)),2,IF(AND(OR($B$3="Stage 2",AND($B$3="Stage 3",OR($B$15="Year 10-11-12 Girls"))),AK44=$E$5,$A44&lt;=IF($B$8="One Keeper",$B$5,$B$8)),3,$B$9)))))))</f>
        <v>0</v>
      </c>
      <c r="AY44" s="20" t="b">
        <f>IF(AL44="",FALSE,AND(AL44&lt;&gt;$B44,AL44&lt;&gt;$C43,IFERROR(INDEX($E$18:$E$30,MATCH(AL44,$B$18:$B$30,0)),"No")="Yes",IF(AND(OR($B$3="Stage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Girls"))),$B$5&gt;20),MIN(3,MAX(2,Setup!$B$14)),2))*2),AL44=$E$5,IF(AND(OR($B$3="Stage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Girls"))),$B$5&gt;20),MIN(3,MAX(2,Setup!$B$14)),2))*2-1))),AL44=$E$4,TRUE)),COUNTIF($C$32:$C43,AL44)&lt;$B$6,IF($BI44,COUNTIF($C$32:$C43,AL44)&lt;IF($B$3="Stage 1",MIN($B$6,MAX(1,INT($B$5/$B$11))),IF(AND($B$3="Stage 3",$B$5=20,$B$11&gt;11),1,IF(AND($B$3="Stage 3",OR($B$15="Year 10-11-12 Girls"),$B$5&gt;20),MAX(2,Setup!$B$14),Setup!$B$14))),IF(AND($B$3&lt;&gt;"Stage 2",$B$3&lt;&gt;"Stage 3"),TRUE,IF($U44,TRUE,COUNTIF($C$32:$C43,AL44)&lt;IF(AND($B$3="Stage 2",$B$5=20,AL44=$E$5,$A44&lt;=IF($B$8="One Keeper",$B$5,$B$8)),2,IF(AND(OR($B$3="Stage 2",AND($B$3="Stage 3",OR($B$15="Year 10-11-12 Girls"))),AL44=$E$5,$A44&lt;=IF($B$8="One Keeper",$B$5,$B$8)),3,$B$9)))))))</f>
        <v>0</v>
      </c>
      <c r="AZ44" s="20" t="b">
        <f>IF(AM44="",FALSE,AND(AM44&lt;&gt;$B44,AM44&lt;&gt;$C43,IFERROR(INDEX($E$18:$E$30,MATCH(AM44,$B$18:$B$30,0)),"No")="Yes",IF(AND(OR($B$3="Stage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Girls"))),$B$5&gt;20),MIN(3,MAX(2,Setup!$B$14)),2))*2),AM44=$E$5,IF(AND(OR($B$3="Stage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Girls"))),$B$5&gt;20),MIN(3,MAX(2,Setup!$B$14)),2))*2-1))),AM44=$E$4,TRUE)),COUNTIF($C$32:$C43,AM44)&lt;$B$6,IF($BI44,COUNTIF($C$32:$C43,AM44)&lt;IF($B$3="Stage 1",MIN($B$6,MAX(1,INT($B$5/$B$11))),IF(AND($B$3="Stage 3",$B$5=20,$B$11&gt;11),1,IF(AND($B$3="Stage 3",OR($B$15="Year 10-11-12 Girls"),$B$5&gt;20),MAX(2,Setup!$B$14),Setup!$B$14))),IF(AND($B$3&lt;&gt;"Stage 2",$B$3&lt;&gt;"Stage 3"),TRUE,IF($U44,TRUE,COUNTIF($C$32:$C43,AM44)&lt;IF(AND($B$3="Stage 2",$B$5=20,AM44=$E$5,$A44&lt;=IF($B$8="One Keeper",$B$5,$B$8)),2,IF(AND(OR($B$3="Stage 2",AND($B$3="Stage 3",OR($B$15="Year 10-11-12 Girls"))),AM44=$E$5,$A44&lt;=IF($B$8="One Keeper",$B$5,$B$8)),3,$B$9)))))))</f>
        <v>0</v>
      </c>
      <c r="BA44" s="20" t="b">
        <f>IF(AN44="",FALSE,AND(AN44&lt;&gt;$B44,AN44&lt;&gt;$C43,IFERROR(INDEX($E$18:$E$30,MATCH(AN44,$B$18:$B$30,0)),"No")="Yes",IF(AND(OR($B$3="Stage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Girls"))),$B$5&gt;20),MIN(3,MAX(2,Setup!$B$14)),2))*2),AN44=$E$5,IF(AND(OR($B$3="Stage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Girls"))),$B$5&gt;20),MIN(3,MAX(2,Setup!$B$14)),2))*2-1))),AN44=$E$4,TRUE)),COUNTIF($C$32:$C43,AN44)&lt;$B$6,IF($BI44,COUNTIF($C$32:$C43,AN44)&lt;IF($B$3="Stage 1",MIN($B$6,MAX(1,INT($B$5/$B$11))),IF(AND($B$3="Stage 3",$B$5=20,$B$11&gt;11),1,IF(AND($B$3="Stage 3",OR($B$15="Year 10-11-12 Girls"),$B$5&gt;20),MAX(2,Setup!$B$14),Setup!$B$14))),IF(AND($B$3&lt;&gt;"Stage 2",$B$3&lt;&gt;"Stage 3"),TRUE,IF($U44,TRUE,COUNTIF($C$32:$C43,AN44)&lt;IF(AND($B$3="Stage 2",$B$5=20,AN44=$E$5,$A44&lt;=IF($B$8="One Keeper",$B$5,$B$8)),2,IF(AND(OR($B$3="Stage 2",AND($B$3="Stage 3",OR($B$15="Year 10-11-12 Girls"))),AN44=$E$5,$A44&lt;=IF($B$8="One Keeper",$B$5,$B$8)),3,$B$9)))))))</f>
        <v>0</v>
      </c>
      <c r="BB44" s="20" t="b">
        <f>IF(AO44="",FALSE,AND(AO44&lt;&gt;$B44,AO44&lt;&gt;$C43,IFERROR(INDEX($E$18:$E$30,MATCH(AO44,$B$18:$B$30,0)),"No")="Yes",IF(AND(OR($B$3="Stage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Girls"))),$B$5&gt;20),MIN(3,MAX(2,Setup!$B$14)),2))*2),AO44=$E$5,IF(AND(OR($B$3="Stage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Girls"))),$B$5&gt;20),MIN(3,MAX(2,Setup!$B$14)),2))*2-1))),AO44=$E$4,TRUE)),COUNTIF($C$32:$C43,AO44)&lt;$B$6,IF($BI44,COUNTIF($C$32:$C43,AO44)&lt;IF($B$3="Stage 1",MIN($B$6,MAX(1,INT($B$5/$B$11))),IF(AND($B$3="Stage 3",$B$5=20,$B$11&gt;11),1,IF(AND($B$3="Stage 3",OR($B$15="Year 10-11-12 Girls"),$B$5&gt;20),MAX(2,Setup!$B$14),Setup!$B$14))),IF(AND($B$3&lt;&gt;"Stage 2",$B$3&lt;&gt;"Stage 3"),TRUE,IF($U44,TRUE,COUNTIF($C$32:$C43,AO44)&lt;IF(AND($B$3="Stage 2",$B$5=20,AO44=$E$5,$A44&lt;=IF($B$8="One Keeper",$B$5,$B$8)),2,IF(AND(OR($B$3="Stage 2",AND($B$3="Stage 3",OR($B$15="Year 10-11-12 Girls"))),AO44=$E$5,$A44&lt;=IF($B$8="One Keeper",$B$5,$B$8)),3,$B$9)))))))</f>
        <v>0</v>
      </c>
      <c r="BC44" s="20" t="b">
        <f>IF(AP44="",FALSE,AND(AP44&lt;&gt;$B44,AP44&lt;&gt;$C43,IFERROR(INDEX($E$18:$E$30,MATCH(AP44,$B$18:$B$30,0)),"No")="Yes",IF(AND(OR($B$3="Stage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Girls"))),$B$5&gt;20),MIN(3,MAX(2,Setup!$B$14)),2))*2),AP44=$E$5,IF(AND(OR($B$3="Stage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Girls"))),$B$5&gt;20),MIN(3,MAX(2,Setup!$B$14)),2))*2-1))),AP44=$E$4,TRUE)),COUNTIF($C$32:$C43,AP44)&lt;$B$6,IF($BI44,COUNTIF($C$32:$C43,AP44)&lt;IF($B$3="Stage 1",MIN($B$6,MAX(1,INT($B$5/$B$11))),IF(AND($B$3="Stage 3",$B$5=20,$B$11&gt;11),1,IF(AND($B$3="Stage 3",OR($B$15="Year 10-11-12 Girls"),$B$5&gt;20),MAX(2,Setup!$B$14),Setup!$B$14))),IF(AND($B$3&lt;&gt;"Stage 2",$B$3&lt;&gt;"Stage 3"),TRUE,IF($U44,TRUE,COUNTIF($C$32:$C43,AP44)&lt;IF(AND($B$3="Stage 2",$B$5=20,AP44=$E$5,$A44&lt;=IF($B$8="One Keeper",$B$5,$B$8)),2,IF(AND(OR($B$3="Stage 2",AND($B$3="Stage 3",OR($B$15="Year 10-11-12 Girls"))),AP44=$E$5,$A44&lt;=IF($B$8="One Keeper",$B$5,$B$8)),3,$B$9)))))))</f>
        <v>1</v>
      </c>
      <c r="BD44" s="20" t="b">
        <f>IF(AQ44="",FALSE,AND(AQ44&lt;&gt;$B44,AQ44&lt;&gt;$C43,IFERROR(INDEX($E$18:$E$30,MATCH(AQ44,$B$18:$B$30,0)),"No")="Yes",IF(AND(OR($B$3="Stage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Girls"))),$B$5&gt;20),MIN(3,MAX(2,Setup!$B$14)),2))*2),AQ44=$E$5,IF(AND(OR($B$3="Stage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Girls"))),$B$5&gt;20),MIN(3,MAX(2,Setup!$B$14)),2))*2-1))),AQ44=$E$4,TRUE)),COUNTIF($C$32:$C43,AQ44)&lt;$B$6,IF($BI44,COUNTIF($C$32:$C43,AQ44)&lt;IF($B$3="Stage 1",MIN($B$6,MAX(1,INT($B$5/$B$11))),IF(AND($B$3="Stage 3",$B$5=20,$B$11&gt;11),1,IF(AND($B$3="Stage 3",OR($B$15="Year 10-11-12 Girls"),$B$5&gt;20),MAX(2,Setup!$B$14),Setup!$B$14))),IF(AND($B$3&lt;&gt;"Stage 2",$B$3&lt;&gt;"Stage 3"),TRUE,IF($U44,TRUE,COUNTIF($C$32:$C43,AQ44)&lt;IF(AND($B$3="Stage 2",$B$5=20,AQ44=$E$5,$A44&lt;=IF($B$8="One Keeper",$B$5,$B$8)),2,IF(AND(OR($B$3="Stage 2",AND($B$3="Stage 3",OR($B$15="Year 10-11-12 Girls"))),AQ44=$E$5,$A44&lt;=IF($B$8="One Keeper",$B$5,$B$8)),3,$B$9)))))))</f>
        <v>0</v>
      </c>
      <c r="BE44" s="20" t="b">
        <f>IF(AR44="",FALSE,AND(AR44&lt;&gt;$B44,AR44&lt;&gt;$C43,IFERROR(INDEX($E$18:$E$30,MATCH(AR44,$B$18:$B$30,0)),"No")="Yes",IF(AND(OR($B$3="Stage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Girls"))),$B$5&gt;20),MIN(3,MAX(2,Setup!$B$14)),2))*2),AR44=$E$5,IF(AND(OR($B$3="Stage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Girls"))),$B$5&gt;20),MIN(3,MAX(2,Setup!$B$14)),2))*2-1))),AR44=$E$4,TRUE)),COUNTIF($C$32:$C43,AR44)&lt;$B$6,IF($BI44,COUNTIF($C$32:$C43,AR44)&lt;IF($B$3="Stage 1",MIN($B$6,MAX(1,INT($B$5/$B$11))),IF(AND($B$3="Stage 3",$B$5=20,$B$11&gt;11),1,IF(AND($B$3="Stage 3",OR($B$15="Year 10-11-12 Girls"),$B$5&gt;20),MAX(2,Setup!$B$14),Setup!$B$14))),IF(AND($B$3&lt;&gt;"Stage 2",$B$3&lt;&gt;"Stage 3"),TRUE,IF($U44,TRUE,COUNTIF($C$32:$C43,AR44)&lt;IF(AND($B$3="Stage 2",$B$5=20,AR44=$E$5,$A44&lt;=IF($B$8="One Keeper",$B$5,$B$8)),2,IF(AND(OR($B$3="Stage 2",AND($B$3="Stage 3",OR($B$15="Year 10-11-12 Girls"))),AR44=$E$5,$A44&lt;=IF($B$8="One Keeper",$B$5,$B$8)),3,$B$9)))))))</f>
        <v>0</v>
      </c>
      <c r="BF44" s="20" t="b">
        <f>IF(AS44="",FALSE,AND(AS44&lt;&gt;$B44,AS44&lt;&gt;$C43,IFERROR(INDEX($E$18:$E$30,MATCH(AS44,$B$18:$B$30,0)),"No")="Yes",IF(AND(OR($B$3="Stage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Girls"))),$B$5&gt;20),MIN(3,MAX(2,Setup!$B$14)),2))*2),AS44=$E$5,IF(AND(OR($B$3="Stage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Girls"))),$B$5&gt;20),MIN(3,MAX(2,Setup!$B$14)),2))*2-1))),AS44=$E$4,TRUE)),COUNTIF($C$32:$C43,AS44)&lt;$B$6,IF($BI44,COUNTIF($C$32:$C43,AS44)&lt;IF($B$3="Stage 1",MIN($B$6,MAX(1,INT($B$5/$B$11))),IF(AND($B$3="Stage 3",$B$5=20,$B$11&gt;11),1,IF(AND($B$3="Stage 3",OR($B$15="Year 10-11-12 Girls"),$B$5&gt;20),MAX(2,Setup!$B$14),Setup!$B$14))),IF(AND($B$3&lt;&gt;"Stage 2",$B$3&lt;&gt;"Stage 3"),TRUE,IF($U44,TRUE,COUNTIF($C$32:$C43,AS44)&lt;IF(AND($B$3="Stage 2",$B$5=20,AS44=$E$5,$A44&lt;=IF($B$8="One Keeper",$B$5,$B$8)),2,IF(AND(OR($B$3="Stage 2",AND($B$3="Stage 3",OR($B$15="Year 10-11-12 Girls"))),AS44=$E$5,$A44&lt;=IF($B$8="One Keeper",$B$5,$B$8)),3,$B$9)))))))</f>
        <v>0</v>
      </c>
      <c r="BG44" s="20" t="b">
        <f>IF(AT44="",FALSE,AND(AT44&lt;&gt;$B44,AT44&lt;&gt;$C43,IFERROR(INDEX($E$18:$E$30,MATCH(AT44,$B$18:$B$30,0)),"No")="Yes",IF(AND(OR($B$3="Stage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Girls"))),$B$5&gt;20),MIN(3,MAX(2,Setup!$B$14)),2))*2),AT44=$E$5,IF(AND(OR($B$3="Stage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Girls"))),$B$5&gt;20),MIN(3,MAX(2,Setup!$B$14)),2))*2-1))),AT44=$E$4,TRUE)),COUNTIF($C$32:$C43,AT44)&lt;$B$6,IF($BI44,COUNTIF($C$32:$C43,AT44)&lt;IF($B$3="Stage 1",MIN($B$6,MAX(1,INT($B$5/$B$11))),IF(AND($B$3="Stage 3",$B$5=20,$B$11&gt;11),1,IF(AND($B$3="Stage 3",OR($B$15="Year 10-11-12 Girls"),$B$5&gt;20),MAX(2,Setup!$B$14),Setup!$B$14))),IF(AND($B$3&lt;&gt;"Stage 2",$B$3&lt;&gt;"Stage 3"),TRUE,IF($U44,TRUE,COUNTIF($C$32:$C43,AT44)&lt;IF(AND($B$3="Stage 2",$B$5=20,AT44=$E$5,$A44&lt;=IF($B$8="One Keeper",$B$5,$B$8)),2,IF(AND(OR($B$3="Stage 2",AND($B$3="Stage 3",OR($B$15="Year 10-11-12 Girls"))),AT44=$E$5,$A44&lt;=IF($B$8="One Keeper",$B$5,$B$8)),3,$B$9)))))))</f>
        <v>0</v>
      </c>
      <c r="BH44" s="20" t="b">
        <f>IF(AU44="",FALSE,AND(AU44&lt;&gt;$B44,AU44&lt;&gt;$C43,IFERROR(INDEX($E$18:$E$30,MATCH(AU44,$B$18:$B$30,0)),"No")="Yes",IF(AND(OR($B$3="Stage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Girls"))),$B$5&gt;20),MIN(3,MAX(2,Setup!$B$14)),2))*2),AU44=$E$5,IF(AND(OR($B$3="Stage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Girls"))),$B$5&gt;20),MIN(3,MAX(2,Setup!$B$14)),2))*2-1))),AU44=$E$4,TRUE)),COUNTIF($C$32:$C43,AU44)&lt;$B$6,IF($BI44,COUNTIF($C$32:$C43,AU44)&lt;IF($B$3="Stage 1",MIN($B$6,MAX(1,INT($B$5/$B$11))),IF(AND($B$3="Stage 3",$B$5=20,$B$11&gt;11),1,IF(AND($B$3="Stage 3",OR($B$15="Year 10-11-12 Girls"),$B$5&gt;20),MAX(2,Setup!$B$14),Setup!$B$14))),IF(AND($B$3&lt;&gt;"Stage 2",$B$3&lt;&gt;"Stage 3"),TRUE,IF($U44,TRUE,COUNTIF($C$32:$C43,AU44)&lt;IF(AND($B$3="Stage 2",$B$5=20,AU44=$E$5,$A44&lt;=IF($B$8="One Keeper",$B$5,$B$8)),2,IF(AND(OR($B$3="Stage 2",AND($B$3="Stage 3",OR($B$15="Year 10-11-12 Girls"))),AU44=$E$5,$A44&lt;=IF($B$8="One Keeper",$B$5,$B$8)),3,$B$9)))))))</f>
        <v>0</v>
      </c>
      <c r="BI44"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Keeper",$E$4&lt;&gt;$E$5,$A44&lt;=IF($B$8="One Keeper",$B$5,$B$8),COUNTIF($C$32:$C43,$E$5)&lt;IF(AND($B$3="Stage 3",$B$5=20,$B$11&gt;11),1,IF(AND(OR($B$3="Stage 2",AND($B$3="Stage 3",OR($B$15="Year 10-11-12 Girls"))),$B$5&gt;20),MIN(3,MAX(2,Setup!$B$14)),2)),IFERROR(INDEX($E$18:$E$30,MATCH($E$5,$B$18:$B$30,0)),"No")="Yes",$C43&lt;&gt;$E$5,MOD($A44,2)=0,$A44&lt;=IF(AND($B$3="Stage 3",$B$5=20,$B$11&gt;11),1,IF(AND(OR($B$3="Stage 2",AND($B$3="Stage 3",OR($B$15="Year 10-11-12 Girls"))),$B$5&gt;20),MIN(3,MAX(2,Setup!$B$14)),2))*2),AND(OR($B$3="Stage 1",$B$3="Stage 2",AND($B$3="Stage 3",OR(OR($B$15="Year 10-11-12 Girls"),OR($B$15="Year 8 Boys",$B$15="Year 9 Boys",$B$15="Year 10-11 Boys")))),$B$8&lt;&gt;"One Keeper",$E$4&lt;&gt;$E$5,$A44&gt;IF($B$8="One Keeper",$B$5,$B$8),COUNTIF($C$32:$C43,$E$4)&lt;IF(AND($B$3="Stage 3",$B$5=20,$B$11&gt;11),1,IF(AND(OR($B$3="Stage 2",AND($B$3="Stage 3",OR($B$15="Year 10-11-12 Girls"))),$B$5&gt;20),MIN(3,MAX(2,Setup!$B$14)),2)),IFERROR(INDEX($E$18:$E$30,MATCH($E$4,$B$18:$B$30,0)),"No")="Yes",$C43&lt;&gt;$E$4,IF($B$7="Three-over spell",AND(MOD($A44-IF($B$8="One Keeper",$B$5,$B$8)-1,3)=0,($A44-IF($B$8="One Keeper",$B$5,$B$8))&lt;=1+(IF(AND($B$3="Stage 3",$B$5=20,$B$11&gt;11),1,IF(AND(OR($B$3="Stage 2",AND($B$3="Stage 3",OR($B$15="Year 10-11-12 Girls"))),$B$5&gt;20),MIN(3,MAX(2,Setup!$B$14)),2))-1)*3),AND(MOD($A44-IF($B$8="One Keeper",$B$5,$B$8),2)=1,($A44-IF($B$8="One Keeper",$B$5,$B$8))&lt;=IF(AND($B$3="Stage 3",$B$5=20,$B$11&gt;11),1,IF(AND(OR($B$3="Stage 2",AND($B$3="Stage 3",OR($B$15="Year 10-11-12 Girls"))),$B$5&gt;20),MIN(3,MAX(2,Setup!$B$14)),2))*2-1))))),OR($U44,AND($B$3="Stage 3",$B$5=20,$B$11&gt;11)),OR($BJ44,$BK44,$BL44,$BM44,$BN44,$BO44,$BP44,$BQ44,$BR44,$BS44,$BT44,$BU44,$BV44))</f>
        <v>0</v>
      </c>
      <c r="BJ44" s="20" t="b">
        <f>IF(AI44="",FALSE,AND(AI44&lt;&gt;IF(AND($B$3="Stage 3",OR($B$15="Year 8 Boys",$B$15="Year 9 Boys",$B$15="Year 10-11 Boys"),$B$8="One Keeper"),$E$4,""),AI44&lt;&gt;$B44,AI44&lt;&gt;$C43,IFERROR(INDEX($E$18:$E$30,MATCH(AI44,$B$18:$B$30,0)),"No")="Yes",COUNTIF($C$32:$C43,AI44)&lt;$B$6,COUNTIF($C$32:$C43,AI44)&lt;IF($B$3="Stage 1",MIN($B$6,MAX(1,INT($B$5/$B$11))),IF(AND($B$3="Stage 3",$B$5=20,$B$11&gt;11),1,IF(AND($B$3="Stage 3",OR($B$15="Year 10-11-12 Girls"),$B$5&gt;20),MAX(2,Setup!$B$14),Setup!$B$14)))))</f>
        <v>1</v>
      </c>
      <c r="BK44" s="20" t="b">
        <f>IF(AJ44="",FALSE,AND(AJ44&lt;&gt;IF(AND($B$3="Stage 3",OR($B$15="Year 8 Boys",$B$15="Year 9 Boys",$B$15="Year 10-11 Boys"),$B$8="One Keeper"),$E$4,""),AJ44&lt;&gt;$B44,AJ44&lt;&gt;$C43,IFERROR(INDEX($E$18:$E$30,MATCH(AJ44,$B$18:$B$30,0)),"No")="Yes",COUNTIF($C$32:$C43,AJ44)&lt;$B$6,COUNTIF($C$32:$C43,AJ44)&lt;IF($B$3="Stage 1",MIN($B$6,MAX(1,INT($B$5/$B$11))),IF(AND($B$3="Stage 3",$B$5=20,$B$11&gt;11),1,IF(AND($B$3="Stage 3",OR($B$15="Year 10-11-12 Girls"),$B$5&gt;20),MAX(2,Setup!$B$14),Setup!$B$14)))))</f>
        <v>0</v>
      </c>
      <c r="BL44" s="20" t="b">
        <f>IF(AK44="",FALSE,AND(AK44&lt;&gt;IF(AND($B$3="Stage 3",OR($B$15="Year 8 Boys",$B$15="Year 9 Boys",$B$15="Year 10-11 Boys"),$B$8="One Keeper"),$E$4,""),AK44&lt;&gt;$B44,AK44&lt;&gt;$C43,IFERROR(INDEX($E$18:$E$30,MATCH(AK44,$B$18:$B$30,0)),"No")="Yes",COUNTIF($C$32:$C43,AK44)&lt;$B$6,COUNTIF($C$32:$C43,AK44)&lt;IF($B$3="Stage 1",MIN($B$6,MAX(1,INT($B$5/$B$11))),IF(AND($B$3="Stage 3",$B$5=20,$B$11&gt;11),1,IF(AND($B$3="Stage 3",OR($B$15="Year 10-11-12 Girls"),$B$5&gt;20),MAX(2,Setup!$B$14),Setup!$B$14)))))</f>
        <v>0</v>
      </c>
      <c r="BM44" s="20" t="b">
        <f>IF(AL44="",FALSE,AND(AL44&lt;&gt;IF(AND($B$3="Stage 3",OR($B$15="Year 8 Boys",$B$15="Year 9 Boys",$B$15="Year 10-11 Boys"),$B$8="One Keeper"),$E$4,""),AL44&lt;&gt;$B44,AL44&lt;&gt;$C43,IFERROR(INDEX($E$18:$E$30,MATCH(AL44,$B$18:$B$30,0)),"No")="Yes",COUNTIF($C$32:$C43,AL44)&lt;$B$6,COUNTIF($C$32:$C43,AL44)&lt;IF($B$3="Stage 1",MIN($B$6,MAX(1,INT($B$5/$B$11))),IF(AND($B$3="Stage 3",$B$5=20,$B$11&gt;11),1,IF(AND($B$3="Stage 3",OR($B$15="Year 10-11-12 Girls"),$B$5&gt;20),MAX(2,Setup!$B$14),Setup!$B$14)))))</f>
        <v>0</v>
      </c>
      <c r="BN44" s="20" t="b">
        <f>IF(AM44="",FALSE,AND(AM44&lt;&gt;IF(AND($B$3="Stage 3",OR($B$15="Year 8 Boys",$B$15="Year 9 Boys",$B$15="Year 10-11 Boys"),$B$8="One Keeper"),$E$4,""),AM44&lt;&gt;$B44,AM44&lt;&gt;$C43,IFERROR(INDEX($E$18:$E$30,MATCH(AM44,$B$18:$B$30,0)),"No")="Yes",COUNTIF($C$32:$C43,AM44)&lt;$B$6,COUNTIF($C$32:$C43,AM44)&lt;IF($B$3="Stage 1",MIN($B$6,MAX(1,INT($B$5/$B$11))),IF(AND($B$3="Stage 3",$B$5=20,$B$11&gt;11),1,IF(AND($B$3="Stage 3",OR($B$15="Year 10-11-12 Girls"),$B$5&gt;20),MAX(2,Setup!$B$14),Setup!$B$14)))))</f>
        <v>0</v>
      </c>
      <c r="BO44" s="20" t="b">
        <f>IF(AN44="",FALSE,AND(AN44&lt;&gt;IF(AND($B$3="Stage 3",OR($B$15="Year 8 Boys",$B$15="Year 9 Boys",$B$15="Year 10-11 Boys"),$B$8="One Keeper"),$E$4,""),AN44&lt;&gt;$B44,AN44&lt;&gt;$C43,IFERROR(INDEX($E$18:$E$30,MATCH(AN44,$B$18:$B$30,0)),"No")="Yes",COUNTIF($C$32:$C43,AN44)&lt;$B$6,COUNTIF($C$32:$C43,AN44)&lt;IF($B$3="Stage 1",MIN($B$6,MAX(1,INT($B$5/$B$11))),IF(AND($B$3="Stage 3",$B$5=20,$B$11&gt;11),1,IF(AND($B$3="Stage 3",OR($B$15="Year 10-11-12 Girls"),$B$5&gt;20),MAX(2,Setup!$B$14),Setup!$B$14)))))</f>
        <v>1</v>
      </c>
      <c r="BP44" s="20" t="b">
        <f>IF(AO44="",FALSE,AND(AO44&lt;&gt;IF(AND($B$3="Stage 3",OR($B$15="Year 8 Boys",$B$15="Year 9 Boys",$B$15="Year 10-11 Boys"),$B$8="One Keeper"),$E$4,""),AO44&lt;&gt;$B44,AO44&lt;&gt;$C43,IFERROR(INDEX($E$18:$E$30,MATCH(AO44,$B$18:$B$30,0)),"No")="Yes",COUNTIF($C$32:$C43,AO44)&lt;$B$6,COUNTIF($C$32:$C43,AO44)&lt;IF($B$3="Stage 1",MIN($B$6,MAX(1,INT($B$5/$B$11))),IF(AND($B$3="Stage 3",$B$5=20,$B$11&gt;11),1,IF(AND($B$3="Stage 3",OR($B$15="Year 10-11-12 Girls"),$B$5&gt;20),MAX(2,Setup!$B$14),Setup!$B$14)))))</f>
        <v>0</v>
      </c>
      <c r="BQ44" s="20" t="b">
        <f>IF(AP44="",FALSE,AND(AP44&lt;&gt;IF(AND($B$3="Stage 3",OR($B$15="Year 8 Boys",$B$15="Year 9 Boys",$B$15="Year 10-11 Boys"),$B$8="One Keeper"),$E$4,""),AP44&lt;&gt;$B44,AP44&lt;&gt;$C43,IFERROR(INDEX($E$18:$E$30,MATCH(AP44,$B$18:$B$30,0)),"No")="Yes",COUNTIF($C$32:$C43,AP44)&lt;$B$6,COUNTIF($C$32:$C43,AP44)&lt;IF($B$3="Stage 1",MIN($B$6,MAX(1,INT($B$5/$B$11))),IF(AND($B$3="Stage 3",$B$5=20,$B$11&gt;11),1,IF(AND($B$3="Stage 3",OR($B$15="Year 10-11-12 Girls"),$B$5&gt;20),MAX(2,Setup!$B$14),Setup!$B$14)))))</f>
        <v>1</v>
      </c>
      <c r="BR44" s="20" t="b">
        <f>IF(AQ44="",FALSE,AND(AQ44&lt;&gt;IF(AND($B$3="Stage 3",OR($B$15="Year 8 Boys",$B$15="Year 9 Boys",$B$15="Year 10-11 Boys"),$B$8="One Keeper"),$E$4,""),AQ44&lt;&gt;$B44,AQ44&lt;&gt;$C43,IFERROR(INDEX($E$18:$E$30,MATCH(AQ44,$B$18:$B$30,0)),"No")="Yes",COUNTIF($C$32:$C43,AQ44)&lt;$B$6,COUNTIF($C$32:$C43,AQ44)&lt;IF($B$3="Stage 1",MIN($B$6,MAX(1,INT($B$5/$B$11))),IF(AND($B$3="Stage 3",$B$5=20,$B$11&gt;11),1,IF(AND($B$3="Stage 3",OR($B$15="Year 10-11-12 Girls"),$B$5&gt;20),MAX(2,Setup!$B$14),Setup!$B$14)))))</f>
        <v>0</v>
      </c>
      <c r="BS44" s="20" t="b">
        <f>IF(AR44="",FALSE,AND(AR44&lt;&gt;IF(AND($B$3="Stage 3",OR($B$15="Year 8 Boys",$B$15="Year 9 Boys",$B$15="Year 10-11 Boys"),$B$8="One Keeper"),$E$4,""),AR44&lt;&gt;$B44,AR44&lt;&gt;$C43,IFERROR(INDEX($E$18:$E$30,MATCH(AR44,$B$18:$B$30,0)),"No")="Yes",COUNTIF($C$32:$C43,AR44)&lt;$B$6,COUNTIF($C$32:$C43,AR44)&lt;IF($B$3="Stage 1",MIN($B$6,MAX(1,INT($B$5/$B$11))),IF(AND($B$3="Stage 3",$B$5=20,$B$11&gt;11),1,IF(AND($B$3="Stage 3",OR($B$15="Year 10-11-12 Girls"),$B$5&gt;20),MAX(2,Setup!$B$14),Setup!$B$14)))))</f>
        <v>0</v>
      </c>
      <c r="BT44" s="20" t="b">
        <f>IF(AS44="",FALSE,AND(AS44&lt;&gt;IF(AND($B$3="Stage 3",OR($B$15="Year 8 Boys",$B$15="Year 9 Boys",$B$15="Year 10-11 Boys"),$B$8="One Keeper"),$E$4,""),AS44&lt;&gt;$B44,AS44&lt;&gt;$C43,IFERROR(INDEX($E$18:$E$30,MATCH(AS44,$B$18:$B$30,0)),"No")="Yes",COUNTIF($C$32:$C43,AS44)&lt;$B$6,COUNTIF($C$32:$C43,AS44)&lt;IF($B$3="Stage 1",MIN($B$6,MAX(1,INT($B$5/$B$11))),IF(AND($B$3="Stage 3",$B$5=20,$B$11&gt;11),1,IF(AND($B$3="Stage 3",OR($B$15="Year 10-11-12 Girls"),$B$5&gt;20),MAX(2,Setup!$B$14),Setup!$B$14)))))</f>
        <v>0</v>
      </c>
      <c r="BU44" s="20" t="b">
        <f>IF(AT44="",FALSE,AND(AT44&lt;&gt;IF(AND($B$3="Stage 3",OR($B$15="Year 8 Boys",$B$15="Year 9 Boys",$B$15="Year 10-11 Boys"),$B$8="One Keeper"),$E$4,""),AT44&lt;&gt;$B44,AT44&lt;&gt;$C43,IFERROR(INDEX($E$18:$E$30,MATCH(AT44,$B$18:$B$30,0)),"No")="Yes",COUNTIF($C$32:$C43,AT44)&lt;$B$6,COUNTIF($C$32:$C43,AT44)&lt;IF($B$3="Stage 1",MIN($B$6,MAX(1,INT($B$5/$B$11))),IF(AND($B$3="Stage 3",$B$5=20,$B$11&gt;11),1,IF(AND($B$3="Stage 3",OR($B$15="Year 10-11-12 Girls"),$B$5&gt;20),MAX(2,Setup!$B$14),Setup!$B$14)))))</f>
        <v>0</v>
      </c>
      <c r="BV44" s="20" t="b">
        <f>IF(AU44="",FALSE,AND(AU44&lt;&gt;IF(AND($B$3="Stage 3",OR($B$15="Year 8 Boys",$B$15="Year 9 Boys",$B$15="Year 10-11 Boys"),$B$8="One Keeper"),$E$4,""),AU44&lt;&gt;$B44,AU44&lt;&gt;$C43,IFERROR(INDEX($E$18:$E$30,MATCH(AU44,$B$18:$B$30,0)),"No")="Yes",COUNTIF($C$32:$C43,AU44)&lt;$B$6,COUNTIF($C$32:$C43,AU44)&lt;IF($B$3="Stage 1",MIN($B$6,MAX(1,INT($B$5/$B$11))),IF(AND($B$3="Stage 3",$B$5=20,$B$11&gt;11),1,IF(AND($B$3="Stage 3",OR($B$15="Year 10-11-12 Girls"),$B$5&gt;20),MAX(2,Setup!$B$14),Setup!$B$14)))))</f>
        <v>1</v>
      </c>
      <c r="BW44" s="20"/>
      <c r="BX44" s="20"/>
      <c r="BY44" s="20"/>
      <c r="BZ44" s="20"/>
      <c r="CA44" s="20"/>
      <c r="CB44" s="20"/>
      <c r="CC44" s="20"/>
      <c r="CD44" s="20"/>
      <c r="CE44" s="20"/>
      <c r="CF44" s="20"/>
      <c r="CG44" s="20"/>
      <c r="CH44" s="20"/>
      <c r="CI44" s="20"/>
      <c r="CJ44" s="20"/>
      <c r="CK44" s="20"/>
    </row>
    <row r="45" spans="1:89" ht="15" customHeight="1">
      <c r="A45" s="18">
        <v>14</v>
      </c>
      <c r="B45" s="18" t="str">
        <f t="shared" si="5"/>
        <v>Player 2</v>
      </c>
      <c r="C45" s="18" t="str">
        <f t="shared" si="6"/>
        <v>Player 6</v>
      </c>
      <c r="D45" s="18">
        <f t="shared" si="7"/>
        <v>4</v>
      </c>
      <c r="E45" s="18">
        <f>IF($C45="","",COUNTIF($C$32:C45,$C45))</f>
        <v>2</v>
      </c>
      <c r="F45" s="18" t="str">
        <f t="shared" si="8"/>
        <v/>
      </c>
      <c r="H45" s="51" t="s">
        <v>153</v>
      </c>
      <c r="I45" s="52"/>
      <c r="J45" s="52"/>
      <c r="K45" s="52"/>
      <c r="L45" s="52"/>
      <c r="M45" s="52"/>
      <c r="N45" s="53"/>
      <c r="T45" s="20">
        <f t="shared" si="15"/>
        <v>7</v>
      </c>
      <c r="U45" s="20" t="b">
        <f>IF(OR($B$3="Stage 2",AND($B$3="Stage 3",OR($B$15="Year 10-11-12 Girls"))),(IF(AND($P$18&lt;&gt;"",$P$18&lt;&gt;$E$4,COUNTIF($C$32:$C44,$P$18)&gt;=2),1,0)+IF(AND($P$19&lt;&gt;"",$P$19&lt;&gt;$E$4,COUNTIF($C$32:$C44,$P$19)&gt;=2),1,0)+IF(AND($P$20&lt;&gt;"",$P$20&lt;&gt;$E$4,COUNTIF($C$32:$C44,$P$20)&gt;=2),1,0)+IF(AND($P$21&lt;&gt;"",$P$21&lt;&gt;$E$4,COUNTIF($C$32:$C44,$P$21)&gt;=2),1,0)+IF(AND($P$22&lt;&gt;"",$P$22&lt;&gt;$E$4,COUNTIF($C$32:$C44,$P$22)&gt;=2),1,0)+IF(AND($P$23&lt;&gt;"",$P$23&lt;&gt;$E$4,COUNTIF($C$32:$C44,$P$23)&gt;=2),1,0)+IF(AND($P$24&lt;&gt;"",$P$24&lt;&gt;$E$4,COUNTIF($C$32:$C44,$P$24)&gt;=2),1,0)+IF(AND($P$25&lt;&gt;"",$P$25&lt;&gt;$E$4,COUNTIF($C$32:$C44,$P$25)&gt;=2),1,0)+IF(AND($P$26&lt;&gt;"",$P$26&lt;&gt;$E$4,COUNTIF($C$32:$C44,$P$26)&gt;=2),1,0)+IF(AND($P$27&lt;&gt;"",$P$27&lt;&gt;$E$4,COUNTIF($C$32:$C44,$P$27)&gt;=2),1,0)+IF(AND($P$28&lt;&gt;"",$P$28&lt;&gt;$E$4,COUNTIF($C$32:$C44,$P$28)&gt;=2),1,0)+IF(AND($P$29&lt;&gt;"",$P$29&lt;&gt;$E$4,COUNTIF($C$32:$C44,$P$29)&gt;=2),1,0)+IF(AND($P$30&lt;&gt;"",$P$30&lt;&gt;$E$4,COUNTIF($C$32:$C44,$P$30)&gt;=2),1,0))&gt;=MAX(0,$B$11-1),IF(AND($B$3="Stage 3",OR($B$15="Year 8 Boys",$B$15="Year 9 Boys",$B$15="Year 10-11 Boys")),(IF(AND($P$18&lt;&gt;"",COUNTIF($C$32:$C44,$P$18)&gt;=2),1,0)+IF(AND($P$19&lt;&gt;"",COUNTIF($C$32:$C44,$P$19)&gt;=2),1,0)+IF(AND($P$20&lt;&gt;"",COUNTIF($C$32:$C44,$P$20)&gt;=2),1,0)+IF(AND($P$21&lt;&gt;"",COUNTIF($C$32:$C44,$P$21)&gt;=2),1,0)+IF(AND($P$22&lt;&gt;"",COUNTIF($C$32:$C44,$P$22)&gt;=2),1,0)+IF(AND($P$23&lt;&gt;"",COUNTIF($C$32:$C44,$P$23)&gt;=2),1,0)+IF(AND($P$24&lt;&gt;"",COUNTIF($C$32:$C44,$P$24)&gt;=2),1,0)+IF(AND($P$25&lt;&gt;"",COUNTIF($C$32:$C44,$P$25)&gt;=2),1,0)+IF(AND($P$26&lt;&gt;"",COUNTIF($C$32:$C44,$P$26)&gt;=2),1,0)+IF(AND($P$27&lt;&gt;"",COUNTIF($C$32:$C44,$P$27)&gt;=2),1,0)+IF(AND($P$28&lt;&gt;"",COUNTIF($C$32:$C44,$P$28)&gt;=2),1,0)+IF(AND($P$29&lt;&gt;"",COUNTIF($C$32:$C44,$P$29)&gt;=2),1,0)+IF(AND($P$30&lt;&gt;"",COUNTIF($C$32:$C44,$P$30)&gt;=2),1,0))&gt;=7,TRUE))</f>
        <v>1</v>
      </c>
      <c r="V45" s="20">
        <f t="shared" si="30"/>
        <v>7</v>
      </c>
      <c r="W45" s="20">
        <f t="shared" si="30"/>
        <v>1</v>
      </c>
      <c r="X45" s="20">
        <f t="shared" si="30"/>
        <v>2</v>
      </c>
      <c r="Y45" s="20">
        <f t="shared" si="30"/>
        <v>3</v>
      </c>
      <c r="Z45" s="20">
        <f t="shared" si="30"/>
        <v>4</v>
      </c>
      <c r="AA45" s="20">
        <f t="shared" si="30"/>
        <v>5</v>
      </c>
      <c r="AB45" s="20">
        <f t="shared" si="30"/>
        <v>6</v>
      </c>
      <c r="AC45" s="20">
        <f t="shared" si="30"/>
        <v>7</v>
      </c>
      <c r="AD45" s="20">
        <f t="shared" si="30"/>
        <v>1</v>
      </c>
      <c r="AE45" s="20">
        <f t="shared" si="30"/>
        <v>2</v>
      </c>
      <c r="AF45" s="20">
        <f t="shared" si="30"/>
        <v>3</v>
      </c>
      <c r="AG45" s="20">
        <f t="shared" si="30"/>
        <v>4</v>
      </c>
      <c r="AH45" s="20">
        <f t="shared" si="30"/>
        <v>5</v>
      </c>
      <c r="AI45" s="20" t="str">
        <f t="shared" si="17"/>
        <v>Player 2</v>
      </c>
      <c r="AJ45" s="20" t="str">
        <f t="shared" si="18"/>
        <v>Player 3</v>
      </c>
      <c r="AK45" s="20" t="str">
        <f t="shared" si="19"/>
        <v>Player 4</v>
      </c>
      <c r="AL45" s="20" t="str">
        <f t="shared" si="20"/>
        <v>Player 5</v>
      </c>
      <c r="AM45" s="20" t="str">
        <f t="shared" si="21"/>
        <v>Player 6</v>
      </c>
      <c r="AN45" s="20" t="str">
        <f t="shared" si="22"/>
        <v>Player 7</v>
      </c>
      <c r="AO45" s="20" t="str">
        <f t="shared" si="23"/>
        <v>Player 1</v>
      </c>
      <c r="AP45" s="20" t="str">
        <f t="shared" si="24"/>
        <v>Player 2</v>
      </c>
      <c r="AQ45" s="20" t="str">
        <f t="shared" si="25"/>
        <v>Player 3</v>
      </c>
      <c r="AR45" s="20" t="str">
        <f t="shared" si="26"/>
        <v>Player 4</v>
      </c>
      <c r="AS45" s="20" t="str">
        <f t="shared" si="27"/>
        <v>Player 5</v>
      </c>
      <c r="AT45" s="20" t="str">
        <f t="shared" si="28"/>
        <v>Player 6</v>
      </c>
      <c r="AU45" s="20" t="str">
        <f t="shared" si="29"/>
        <v>Player 7</v>
      </c>
      <c r="AV45" s="20" t="b">
        <f>IF(AI45="",FALSE,AND(AI45&lt;&gt;$B45,AI45&lt;&gt;$C44,IFERROR(INDEX($E$18:$E$30,MATCH(AI45,$B$18:$B$30,0)),"No")="Yes",IF(AND(OR($B$3="Stage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Girls"))),$B$5&gt;20),MIN(3,MAX(2,Setup!$B$14)),2))*2),AI45=$E$5,IF(AND(OR($B$3="Stage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Girls"))),$B$5&gt;20),MIN(3,MAX(2,Setup!$B$14)),2))*2-1))),AI45=$E$4,TRUE)),COUNTIF($C$32:$C44,AI45)&lt;$B$6,IF($BI45,COUNTIF($C$32:$C44,AI45)&lt;IF($B$3="Stage 1",MIN($B$6,MAX(1,INT($B$5/$B$11))),IF(AND($B$3="Stage 3",$B$5=20,$B$11&gt;11),1,IF(AND($B$3="Stage 3",OR($B$15="Year 10-11-12 Girls"),$B$5&gt;20),MAX(2,Setup!$B$14),Setup!$B$14))),IF(AND($B$3&lt;&gt;"Stage 2",$B$3&lt;&gt;"Stage 3"),TRUE,IF($U45,TRUE,COUNTIF($C$32:$C44,AI45)&lt;IF(AND($B$3="Stage 2",$B$5=20,AI45=$E$5,$A45&lt;=IF($B$8="One Keeper",$B$5,$B$8)),2,IF(AND(OR($B$3="Stage 2",AND($B$3="Stage 3",OR($B$15="Year 10-11-12 Girls"))),AI45=$E$5,$A45&lt;=IF($B$8="One Keeper",$B$5,$B$8)),3,$B$9)))))))</f>
        <v>0</v>
      </c>
      <c r="AW45" s="20" t="b">
        <f>IF(AJ45="",FALSE,AND(AJ45&lt;&gt;$B45,AJ45&lt;&gt;$C44,IFERROR(INDEX($E$18:$E$30,MATCH(AJ45,$B$18:$B$30,0)),"No")="Yes",IF(AND(OR($B$3="Stage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Girls"))),$B$5&gt;20),MIN(3,MAX(2,Setup!$B$14)),2))*2),AJ45=$E$5,IF(AND(OR($B$3="Stage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Girls"))),$B$5&gt;20),MIN(3,MAX(2,Setup!$B$14)),2))*2-1))),AJ45=$E$4,TRUE)),COUNTIF($C$32:$C44,AJ45)&lt;$B$6,IF($BI45,COUNTIF($C$32:$C44,AJ45)&lt;IF($B$3="Stage 1",MIN($B$6,MAX(1,INT($B$5/$B$11))),IF(AND($B$3="Stage 3",$B$5=20,$B$11&gt;11),1,IF(AND($B$3="Stage 3",OR($B$15="Year 10-11-12 Girls"),$B$5&gt;20),MAX(2,Setup!$B$14),Setup!$B$14))),IF(AND($B$3&lt;&gt;"Stage 2",$B$3&lt;&gt;"Stage 3"),TRUE,IF($U45,TRUE,COUNTIF($C$32:$C44,AJ45)&lt;IF(AND($B$3="Stage 2",$B$5=20,AJ45=$E$5,$A45&lt;=IF($B$8="One Keeper",$B$5,$B$8)),2,IF(AND(OR($B$3="Stage 2",AND($B$3="Stage 3",OR($B$15="Year 10-11-12 Girls"))),AJ45=$E$5,$A45&lt;=IF($B$8="One Keeper",$B$5,$B$8)),3,$B$9)))))))</f>
        <v>0</v>
      </c>
      <c r="AX45" s="20" t="b">
        <f>IF(AK45="",FALSE,AND(AK45&lt;&gt;$B45,AK45&lt;&gt;$C44,IFERROR(INDEX($E$18:$E$30,MATCH(AK45,$B$18:$B$30,0)),"No")="Yes",IF(AND(OR($B$3="Stage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Girls"))),$B$5&gt;20),MIN(3,MAX(2,Setup!$B$14)),2))*2),AK45=$E$5,IF(AND(OR($B$3="Stage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Girls"))),$B$5&gt;20),MIN(3,MAX(2,Setup!$B$14)),2))*2-1))),AK45=$E$4,TRUE)),COUNTIF($C$32:$C44,AK45)&lt;$B$6,IF($BI45,COUNTIF($C$32:$C44,AK45)&lt;IF($B$3="Stage 1",MIN($B$6,MAX(1,INT($B$5/$B$11))),IF(AND($B$3="Stage 3",$B$5=20,$B$11&gt;11),1,IF(AND($B$3="Stage 3",OR($B$15="Year 10-11-12 Girls"),$B$5&gt;20),MAX(2,Setup!$B$14),Setup!$B$14))),IF(AND($B$3&lt;&gt;"Stage 2",$B$3&lt;&gt;"Stage 3"),TRUE,IF($U45,TRUE,COUNTIF($C$32:$C44,AK45)&lt;IF(AND($B$3="Stage 2",$B$5=20,AK45=$E$5,$A45&lt;=IF($B$8="One Keeper",$B$5,$B$8)),2,IF(AND(OR($B$3="Stage 2",AND($B$3="Stage 3",OR($B$15="Year 10-11-12 Girls"))),AK45=$E$5,$A45&lt;=IF($B$8="One Keeper",$B$5,$B$8)),3,$B$9)))))))</f>
        <v>0</v>
      </c>
      <c r="AY45" s="20" t="b">
        <f>IF(AL45="",FALSE,AND(AL45&lt;&gt;$B45,AL45&lt;&gt;$C44,IFERROR(INDEX($E$18:$E$30,MATCH(AL45,$B$18:$B$30,0)),"No")="Yes",IF(AND(OR($B$3="Stage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Girls"))),$B$5&gt;20),MIN(3,MAX(2,Setup!$B$14)),2))*2),AL45=$E$5,IF(AND(OR($B$3="Stage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Girls"))),$B$5&gt;20),MIN(3,MAX(2,Setup!$B$14)),2))*2-1))),AL45=$E$4,TRUE)),COUNTIF($C$32:$C44,AL45)&lt;$B$6,IF($BI45,COUNTIF($C$32:$C44,AL45)&lt;IF($B$3="Stage 1",MIN($B$6,MAX(1,INT($B$5/$B$11))),IF(AND($B$3="Stage 3",$B$5=20,$B$11&gt;11),1,IF(AND($B$3="Stage 3",OR($B$15="Year 10-11-12 Girls"),$B$5&gt;20),MAX(2,Setup!$B$14),Setup!$B$14))),IF(AND($B$3&lt;&gt;"Stage 2",$B$3&lt;&gt;"Stage 3"),TRUE,IF($U45,TRUE,COUNTIF($C$32:$C44,AL45)&lt;IF(AND($B$3="Stage 2",$B$5=20,AL45=$E$5,$A45&lt;=IF($B$8="One Keeper",$B$5,$B$8)),2,IF(AND(OR($B$3="Stage 2",AND($B$3="Stage 3",OR($B$15="Year 10-11-12 Girls"))),AL45=$E$5,$A45&lt;=IF($B$8="One Keeper",$B$5,$B$8)),3,$B$9)))))))</f>
        <v>0</v>
      </c>
      <c r="AZ45" s="20" t="b">
        <f>IF(AM45="",FALSE,AND(AM45&lt;&gt;$B45,AM45&lt;&gt;$C44,IFERROR(INDEX($E$18:$E$30,MATCH(AM45,$B$18:$B$30,0)),"No")="Yes",IF(AND(OR($B$3="Stage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Girls"))),$B$5&gt;20),MIN(3,MAX(2,Setup!$B$14)),2))*2),AM45=$E$5,IF(AND(OR($B$3="Stage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Girls"))),$B$5&gt;20),MIN(3,MAX(2,Setup!$B$14)),2))*2-1))),AM45=$E$4,TRUE)),COUNTIF($C$32:$C44,AM45)&lt;$B$6,IF($BI45,COUNTIF($C$32:$C44,AM45)&lt;IF($B$3="Stage 1",MIN($B$6,MAX(1,INT($B$5/$B$11))),IF(AND($B$3="Stage 3",$B$5=20,$B$11&gt;11),1,IF(AND($B$3="Stage 3",OR($B$15="Year 10-11-12 Girls"),$B$5&gt;20),MAX(2,Setup!$B$14),Setup!$B$14))),IF(AND($B$3&lt;&gt;"Stage 2",$B$3&lt;&gt;"Stage 3"),TRUE,IF($U45,TRUE,COUNTIF($C$32:$C44,AM45)&lt;IF(AND($B$3="Stage 2",$B$5=20,AM45=$E$5,$A45&lt;=IF($B$8="One Keeper",$B$5,$B$8)),2,IF(AND(OR($B$3="Stage 2",AND($B$3="Stage 3",OR($B$15="Year 10-11-12 Girls"))),AM45=$E$5,$A45&lt;=IF($B$8="One Keeper",$B$5,$B$8)),3,$B$9)))))))</f>
        <v>1</v>
      </c>
      <c r="BA45" s="20" t="b">
        <f>IF(AN45="",FALSE,AND(AN45&lt;&gt;$B45,AN45&lt;&gt;$C44,IFERROR(INDEX($E$18:$E$30,MATCH(AN45,$B$18:$B$30,0)),"No")="Yes",IF(AND(OR($B$3="Stage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Girls"))),$B$5&gt;20),MIN(3,MAX(2,Setup!$B$14)),2))*2),AN45=$E$5,IF(AND(OR($B$3="Stage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Girls"))),$B$5&gt;20),MIN(3,MAX(2,Setup!$B$14)),2))*2-1))),AN45=$E$4,TRUE)),COUNTIF($C$32:$C44,AN45)&lt;$B$6,IF($BI45,COUNTIF($C$32:$C44,AN45)&lt;IF($B$3="Stage 1",MIN($B$6,MAX(1,INT($B$5/$B$11))),IF(AND($B$3="Stage 3",$B$5=20,$B$11&gt;11),1,IF(AND($B$3="Stage 3",OR($B$15="Year 10-11-12 Girls"),$B$5&gt;20),MAX(2,Setup!$B$14),Setup!$B$14))),IF(AND($B$3&lt;&gt;"Stage 2",$B$3&lt;&gt;"Stage 3"),TRUE,IF($U45,TRUE,COUNTIF($C$32:$C44,AN45)&lt;IF(AND($B$3="Stage 2",$B$5=20,AN45=$E$5,$A45&lt;=IF($B$8="One Keeper",$B$5,$B$8)),2,IF(AND(OR($B$3="Stage 2",AND($B$3="Stage 3",OR($B$15="Year 10-11-12 Girls"))),AN45=$E$5,$A45&lt;=IF($B$8="One Keeper",$B$5,$B$8)),3,$B$9)))))))</f>
        <v>0</v>
      </c>
      <c r="BB45" s="20" t="b">
        <f>IF(AO45="",FALSE,AND(AO45&lt;&gt;$B45,AO45&lt;&gt;$C44,IFERROR(INDEX($E$18:$E$30,MATCH(AO45,$B$18:$B$30,0)),"No")="Yes",IF(AND(OR($B$3="Stage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Girls"))),$B$5&gt;20),MIN(3,MAX(2,Setup!$B$14)),2))*2),AO45=$E$5,IF(AND(OR($B$3="Stage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Girls"))),$B$5&gt;20),MIN(3,MAX(2,Setup!$B$14)),2))*2-1))),AO45=$E$4,TRUE)),COUNTIF($C$32:$C44,AO45)&lt;$B$6,IF($BI45,COUNTIF($C$32:$C44,AO45)&lt;IF($B$3="Stage 1",MIN($B$6,MAX(1,INT($B$5/$B$11))),IF(AND($B$3="Stage 3",$B$5=20,$B$11&gt;11),1,IF(AND($B$3="Stage 3",OR($B$15="Year 10-11-12 Girls"),$B$5&gt;20),MAX(2,Setup!$B$14),Setup!$B$14))),IF(AND($B$3&lt;&gt;"Stage 2",$B$3&lt;&gt;"Stage 3"),TRUE,IF($U45,TRUE,COUNTIF($C$32:$C44,AO45)&lt;IF(AND($B$3="Stage 2",$B$5=20,AO45=$E$5,$A45&lt;=IF($B$8="One Keeper",$B$5,$B$8)),2,IF(AND(OR($B$3="Stage 2",AND($B$3="Stage 3",OR($B$15="Year 10-11-12 Girls"))),AO45=$E$5,$A45&lt;=IF($B$8="One Keeper",$B$5,$B$8)),3,$B$9)))))))</f>
        <v>0</v>
      </c>
      <c r="BC45" s="20" t="b">
        <f>IF(AP45="",FALSE,AND(AP45&lt;&gt;$B45,AP45&lt;&gt;$C44,IFERROR(INDEX($E$18:$E$30,MATCH(AP45,$B$18:$B$30,0)),"No")="Yes",IF(AND(OR($B$3="Stage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Girls"))),$B$5&gt;20),MIN(3,MAX(2,Setup!$B$14)),2))*2),AP45=$E$5,IF(AND(OR($B$3="Stage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Girls"))),$B$5&gt;20),MIN(3,MAX(2,Setup!$B$14)),2))*2-1))),AP45=$E$4,TRUE)),COUNTIF($C$32:$C44,AP45)&lt;$B$6,IF($BI45,COUNTIF($C$32:$C44,AP45)&lt;IF($B$3="Stage 1",MIN($B$6,MAX(1,INT($B$5/$B$11))),IF(AND($B$3="Stage 3",$B$5=20,$B$11&gt;11),1,IF(AND($B$3="Stage 3",OR($B$15="Year 10-11-12 Girls"),$B$5&gt;20),MAX(2,Setup!$B$14),Setup!$B$14))),IF(AND($B$3&lt;&gt;"Stage 2",$B$3&lt;&gt;"Stage 3"),TRUE,IF($U45,TRUE,COUNTIF($C$32:$C44,AP45)&lt;IF(AND($B$3="Stage 2",$B$5=20,AP45=$E$5,$A45&lt;=IF($B$8="One Keeper",$B$5,$B$8)),2,IF(AND(OR($B$3="Stage 2",AND($B$3="Stage 3",OR($B$15="Year 10-11-12 Girls"))),AP45=$E$5,$A45&lt;=IF($B$8="One Keeper",$B$5,$B$8)),3,$B$9)))))))</f>
        <v>0</v>
      </c>
      <c r="BD45" s="20" t="b">
        <f>IF(AQ45="",FALSE,AND(AQ45&lt;&gt;$B45,AQ45&lt;&gt;$C44,IFERROR(INDEX($E$18:$E$30,MATCH(AQ45,$B$18:$B$30,0)),"No")="Yes",IF(AND(OR($B$3="Stage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Girls"))),$B$5&gt;20),MIN(3,MAX(2,Setup!$B$14)),2))*2),AQ45=$E$5,IF(AND(OR($B$3="Stage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Girls"))),$B$5&gt;20),MIN(3,MAX(2,Setup!$B$14)),2))*2-1))),AQ45=$E$4,TRUE)),COUNTIF($C$32:$C44,AQ45)&lt;$B$6,IF($BI45,COUNTIF($C$32:$C44,AQ45)&lt;IF($B$3="Stage 1",MIN($B$6,MAX(1,INT($B$5/$B$11))),IF(AND($B$3="Stage 3",$B$5=20,$B$11&gt;11),1,IF(AND($B$3="Stage 3",OR($B$15="Year 10-11-12 Girls"),$B$5&gt;20),MAX(2,Setup!$B$14),Setup!$B$14))),IF(AND($B$3&lt;&gt;"Stage 2",$B$3&lt;&gt;"Stage 3"),TRUE,IF($U45,TRUE,COUNTIF($C$32:$C44,AQ45)&lt;IF(AND($B$3="Stage 2",$B$5=20,AQ45=$E$5,$A45&lt;=IF($B$8="One Keeper",$B$5,$B$8)),2,IF(AND(OR($B$3="Stage 2",AND($B$3="Stage 3",OR($B$15="Year 10-11-12 Girls"))),AQ45=$E$5,$A45&lt;=IF($B$8="One Keeper",$B$5,$B$8)),3,$B$9)))))))</f>
        <v>0</v>
      </c>
      <c r="BE45" s="20" t="b">
        <f>IF(AR45="",FALSE,AND(AR45&lt;&gt;$B45,AR45&lt;&gt;$C44,IFERROR(INDEX($E$18:$E$30,MATCH(AR45,$B$18:$B$30,0)),"No")="Yes",IF(AND(OR($B$3="Stage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Girls"))),$B$5&gt;20),MIN(3,MAX(2,Setup!$B$14)),2))*2),AR45=$E$5,IF(AND(OR($B$3="Stage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Girls"))),$B$5&gt;20),MIN(3,MAX(2,Setup!$B$14)),2))*2-1))),AR45=$E$4,TRUE)),COUNTIF($C$32:$C44,AR45)&lt;$B$6,IF($BI45,COUNTIF($C$32:$C44,AR45)&lt;IF($B$3="Stage 1",MIN($B$6,MAX(1,INT($B$5/$B$11))),IF(AND($B$3="Stage 3",$B$5=20,$B$11&gt;11),1,IF(AND($B$3="Stage 3",OR($B$15="Year 10-11-12 Girls"),$B$5&gt;20),MAX(2,Setup!$B$14),Setup!$B$14))),IF(AND($B$3&lt;&gt;"Stage 2",$B$3&lt;&gt;"Stage 3"),TRUE,IF($U45,TRUE,COUNTIF($C$32:$C44,AR45)&lt;IF(AND($B$3="Stage 2",$B$5=20,AR45=$E$5,$A45&lt;=IF($B$8="One Keeper",$B$5,$B$8)),2,IF(AND(OR($B$3="Stage 2",AND($B$3="Stage 3",OR($B$15="Year 10-11-12 Girls"))),AR45=$E$5,$A45&lt;=IF($B$8="One Keeper",$B$5,$B$8)),3,$B$9)))))))</f>
        <v>0</v>
      </c>
      <c r="BF45" s="20" t="b">
        <f>IF(AS45="",FALSE,AND(AS45&lt;&gt;$B45,AS45&lt;&gt;$C44,IFERROR(INDEX($E$18:$E$30,MATCH(AS45,$B$18:$B$30,0)),"No")="Yes",IF(AND(OR($B$3="Stage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Girls"))),$B$5&gt;20),MIN(3,MAX(2,Setup!$B$14)),2))*2),AS45=$E$5,IF(AND(OR($B$3="Stage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Girls"))),$B$5&gt;20),MIN(3,MAX(2,Setup!$B$14)),2))*2-1))),AS45=$E$4,TRUE)),COUNTIF($C$32:$C44,AS45)&lt;$B$6,IF($BI45,COUNTIF($C$32:$C44,AS45)&lt;IF($B$3="Stage 1",MIN($B$6,MAX(1,INT($B$5/$B$11))),IF(AND($B$3="Stage 3",$B$5=20,$B$11&gt;11),1,IF(AND($B$3="Stage 3",OR($B$15="Year 10-11-12 Girls"),$B$5&gt;20),MAX(2,Setup!$B$14),Setup!$B$14))),IF(AND($B$3&lt;&gt;"Stage 2",$B$3&lt;&gt;"Stage 3"),TRUE,IF($U45,TRUE,COUNTIF($C$32:$C44,AS45)&lt;IF(AND($B$3="Stage 2",$B$5=20,AS45=$E$5,$A45&lt;=IF($B$8="One Keeper",$B$5,$B$8)),2,IF(AND(OR($B$3="Stage 2",AND($B$3="Stage 3",OR($B$15="Year 10-11-12 Girls"))),AS45=$E$5,$A45&lt;=IF($B$8="One Keeper",$B$5,$B$8)),3,$B$9)))))))</f>
        <v>0</v>
      </c>
      <c r="BG45" s="20" t="b">
        <f>IF(AT45="",FALSE,AND(AT45&lt;&gt;$B45,AT45&lt;&gt;$C44,IFERROR(INDEX($E$18:$E$30,MATCH(AT45,$B$18:$B$30,0)),"No")="Yes",IF(AND(OR($B$3="Stage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Girls"))),$B$5&gt;20),MIN(3,MAX(2,Setup!$B$14)),2))*2),AT45=$E$5,IF(AND(OR($B$3="Stage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Girls"))),$B$5&gt;20),MIN(3,MAX(2,Setup!$B$14)),2))*2-1))),AT45=$E$4,TRUE)),COUNTIF($C$32:$C44,AT45)&lt;$B$6,IF($BI45,COUNTIF($C$32:$C44,AT45)&lt;IF($B$3="Stage 1",MIN($B$6,MAX(1,INT($B$5/$B$11))),IF(AND($B$3="Stage 3",$B$5=20,$B$11&gt;11),1,IF(AND($B$3="Stage 3",OR($B$15="Year 10-11-12 Girls"),$B$5&gt;20),MAX(2,Setup!$B$14),Setup!$B$14))),IF(AND($B$3&lt;&gt;"Stage 2",$B$3&lt;&gt;"Stage 3"),TRUE,IF($U45,TRUE,COUNTIF($C$32:$C44,AT45)&lt;IF(AND($B$3="Stage 2",$B$5=20,AT45=$E$5,$A45&lt;=IF($B$8="One Keeper",$B$5,$B$8)),2,IF(AND(OR($B$3="Stage 2",AND($B$3="Stage 3",OR($B$15="Year 10-11-12 Girls"))),AT45=$E$5,$A45&lt;=IF($B$8="One Keeper",$B$5,$B$8)),3,$B$9)))))))</f>
        <v>1</v>
      </c>
      <c r="BH45" s="20" t="b">
        <f>IF(AU45="",FALSE,AND(AU45&lt;&gt;$B45,AU45&lt;&gt;$C44,IFERROR(INDEX($E$18:$E$30,MATCH(AU45,$B$18:$B$30,0)),"No")="Yes",IF(AND(OR($B$3="Stage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Girls"))),$B$5&gt;20),MIN(3,MAX(2,Setup!$B$14)),2))*2),AU45=$E$5,IF(AND(OR($B$3="Stage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Girls"))),$B$5&gt;20),MIN(3,MAX(2,Setup!$B$14)),2))*2-1))),AU45=$E$4,TRUE)),COUNTIF($C$32:$C44,AU45)&lt;$B$6,IF($BI45,COUNTIF($C$32:$C44,AU45)&lt;IF($B$3="Stage 1",MIN($B$6,MAX(1,INT($B$5/$B$11))),IF(AND($B$3="Stage 3",$B$5=20,$B$11&gt;11),1,IF(AND($B$3="Stage 3",OR($B$15="Year 10-11-12 Girls"),$B$5&gt;20),MAX(2,Setup!$B$14),Setup!$B$14))),IF(AND($B$3&lt;&gt;"Stage 2",$B$3&lt;&gt;"Stage 3"),TRUE,IF($U45,TRUE,COUNTIF($C$32:$C44,AU45)&lt;IF(AND($B$3="Stage 2",$B$5=20,AU45=$E$5,$A45&lt;=IF($B$8="One Keeper",$B$5,$B$8)),2,IF(AND(OR($B$3="Stage 2",AND($B$3="Stage 3",OR($B$15="Year 10-11-12 Girls"))),AU45=$E$5,$A45&lt;=IF($B$8="One Keeper",$B$5,$B$8)),3,$B$9)))))))</f>
        <v>0</v>
      </c>
      <c r="BI45"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Keeper",$E$4&lt;&gt;$E$5,$A45&lt;=IF($B$8="One Keeper",$B$5,$B$8),COUNTIF($C$32:$C44,$E$5)&lt;IF(AND($B$3="Stage 3",$B$5=20,$B$11&gt;11),1,IF(AND(OR($B$3="Stage 2",AND($B$3="Stage 3",OR($B$15="Year 10-11-12 Girls"))),$B$5&gt;20),MIN(3,MAX(2,Setup!$B$14)),2)),IFERROR(INDEX($E$18:$E$30,MATCH($E$5,$B$18:$B$30,0)),"No")="Yes",$C44&lt;&gt;$E$5,MOD($A45,2)=0,$A45&lt;=IF(AND($B$3="Stage 3",$B$5=20,$B$11&gt;11),1,IF(AND(OR($B$3="Stage 2",AND($B$3="Stage 3",OR($B$15="Year 10-11-12 Girls"))),$B$5&gt;20),MIN(3,MAX(2,Setup!$B$14)),2))*2),AND(OR($B$3="Stage 1",$B$3="Stage 2",AND($B$3="Stage 3",OR(OR($B$15="Year 10-11-12 Girls"),OR($B$15="Year 8 Boys",$B$15="Year 9 Boys",$B$15="Year 10-11 Boys")))),$B$8&lt;&gt;"One Keeper",$E$4&lt;&gt;$E$5,$A45&gt;IF($B$8="One Keeper",$B$5,$B$8),COUNTIF($C$32:$C44,$E$4)&lt;IF(AND($B$3="Stage 3",$B$5=20,$B$11&gt;11),1,IF(AND(OR($B$3="Stage 2",AND($B$3="Stage 3",OR($B$15="Year 10-11-12 Girls"))),$B$5&gt;20),MIN(3,MAX(2,Setup!$B$14)),2)),IFERROR(INDEX($E$18:$E$30,MATCH($E$4,$B$18:$B$30,0)),"No")="Yes",$C44&lt;&gt;$E$4,IF($B$7="Three-over spell",AND(MOD($A45-IF($B$8="One Keeper",$B$5,$B$8)-1,3)=0,($A45-IF($B$8="One Keeper",$B$5,$B$8))&lt;=1+(IF(AND($B$3="Stage 3",$B$5=20,$B$11&gt;11),1,IF(AND(OR($B$3="Stage 2",AND($B$3="Stage 3",OR($B$15="Year 10-11-12 Girls"))),$B$5&gt;20),MIN(3,MAX(2,Setup!$B$14)),2))-1)*3),AND(MOD($A45-IF($B$8="One Keeper",$B$5,$B$8),2)=1,($A45-IF($B$8="One Keeper",$B$5,$B$8))&lt;=IF(AND($B$3="Stage 3",$B$5=20,$B$11&gt;11),1,IF(AND(OR($B$3="Stage 2",AND($B$3="Stage 3",OR($B$15="Year 10-11-12 Girls"))),$B$5&gt;20),MIN(3,MAX(2,Setup!$B$14)),2))*2-1))))),OR($U45,AND($B$3="Stage 3",$B$5=20,$B$11&gt;11)),OR($BJ45,$BK45,$BL45,$BM45,$BN45,$BO45,$BP45,$BQ45,$BR45,$BS45,$BT45,$BU45,$BV45))</f>
        <v>1</v>
      </c>
      <c r="BJ45" s="20" t="b">
        <f>IF(AI45="",FALSE,AND(AI45&lt;&gt;IF(AND($B$3="Stage 3",OR($B$15="Year 8 Boys",$B$15="Year 9 Boys",$B$15="Year 10-11 Boys"),$B$8="One Keeper"),$E$4,""),AI45&lt;&gt;$B45,AI45&lt;&gt;$C44,IFERROR(INDEX($E$18:$E$30,MATCH(AI45,$B$18:$B$30,0)),"No")="Yes",COUNTIF($C$32:$C44,AI45)&lt;$B$6,COUNTIF($C$32:$C44,AI45)&lt;IF($B$3="Stage 1",MIN($B$6,MAX(1,INT($B$5/$B$11))),IF(AND($B$3="Stage 3",$B$5=20,$B$11&gt;11),1,IF(AND($B$3="Stage 3",OR($B$15="Year 10-11-12 Girls"),$B$5&gt;20),MAX(2,Setup!$B$14),Setup!$B$14)))))</f>
        <v>0</v>
      </c>
      <c r="BK45" s="20" t="b">
        <f>IF(AJ45="",FALSE,AND(AJ45&lt;&gt;IF(AND($B$3="Stage 3",OR($B$15="Year 8 Boys",$B$15="Year 9 Boys",$B$15="Year 10-11 Boys"),$B$8="One Keeper"),$E$4,""),AJ45&lt;&gt;$B45,AJ45&lt;&gt;$C44,IFERROR(INDEX($E$18:$E$30,MATCH(AJ45,$B$18:$B$30,0)),"No")="Yes",COUNTIF($C$32:$C44,AJ45)&lt;$B$6,COUNTIF($C$32:$C44,AJ45)&lt;IF($B$3="Stage 1",MIN($B$6,MAX(1,INT($B$5/$B$11))),IF(AND($B$3="Stage 3",$B$5=20,$B$11&gt;11),1,IF(AND($B$3="Stage 3",OR($B$15="Year 10-11-12 Girls"),$B$5&gt;20),MAX(2,Setup!$B$14),Setup!$B$14)))))</f>
        <v>0</v>
      </c>
      <c r="BL45" s="20" t="b">
        <f>IF(AK45="",FALSE,AND(AK45&lt;&gt;IF(AND($B$3="Stage 3",OR($B$15="Year 8 Boys",$B$15="Year 9 Boys",$B$15="Year 10-11 Boys"),$B$8="One Keeper"),$E$4,""),AK45&lt;&gt;$B45,AK45&lt;&gt;$C44,IFERROR(INDEX($E$18:$E$30,MATCH(AK45,$B$18:$B$30,0)),"No")="Yes",COUNTIF($C$32:$C44,AK45)&lt;$B$6,COUNTIF($C$32:$C44,AK45)&lt;IF($B$3="Stage 1",MIN($B$6,MAX(1,INT($B$5/$B$11))),IF(AND($B$3="Stage 3",$B$5=20,$B$11&gt;11),1,IF(AND($B$3="Stage 3",OR($B$15="Year 10-11-12 Girls"),$B$5&gt;20),MAX(2,Setup!$B$14),Setup!$B$14)))))</f>
        <v>0</v>
      </c>
      <c r="BM45" s="20" t="b">
        <f>IF(AL45="",FALSE,AND(AL45&lt;&gt;IF(AND($B$3="Stage 3",OR($B$15="Year 8 Boys",$B$15="Year 9 Boys",$B$15="Year 10-11 Boys"),$B$8="One Keeper"),$E$4,""),AL45&lt;&gt;$B45,AL45&lt;&gt;$C44,IFERROR(INDEX($E$18:$E$30,MATCH(AL45,$B$18:$B$30,0)),"No")="Yes",COUNTIF($C$32:$C44,AL45)&lt;$B$6,COUNTIF($C$32:$C44,AL45)&lt;IF($B$3="Stage 1",MIN($B$6,MAX(1,INT($B$5/$B$11))),IF(AND($B$3="Stage 3",$B$5=20,$B$11&gt;11),1,IF(AND($B$3="Stage 3",OR($B$15="Year 10-11-12 Girls"),$B$5&gt;20),MAX(2,Setup!$B$14),Setup!$B$14)))))</f>
        <v>0</v>
      </c>
      <c r="BN45" s="20" t="b">
        <f>IF(AM45="",FALSE,AND(AM45&lt;&gt;IF(AND($B$3="Stage 3",OR($B$15="Year 8 Boys",$B$15="Year 9 Boys",$B$15="Year 10-11 Boys"),$B$8="One Keeper"),$E$4,""),AM45&lt;&gt;$B45,AM45&lt;&gt;$C44,IFERROR(INDEX($E$18:$E$30,MATCH(AM45,$B$18:$B$30,0)),"No")="Yes",COUNTIF($C$32:$C44,AM45)&lt;$B$6,COUNTIF($C$32:$C44,AM45)&lt;IF($B$3="Stage 1",MIN($B$6,MAX(1,INT($B$5/$B$11))),IF(AND($B$3="Stage 3",$B$5=20,$B$11&gt;11),1,IF(AND($B$3="Stage 3",OR($B$15="Year 10-11-12 Girls"),$B$5&gt;20),MAX(2,Setup!$B$14),Setup!$B$14)))))</f>
        <v>1</v>
      </c>
      <c r="BO45" s="20" t="b">
        <f>IF(AN45="",FALSE,AND(AN45&lt;&gt;IF(AND($B$3="Stage 3",OR($B$15="Year 8 Boys",$B$15="Year 9 Boys",$B$15="Year 10-11 Boys"),$B$8="One Keeper"),$E$4,""),AN45&lt;&gt;$B45,AN45&lt;&gt;$C44,IFERROR(INDEX($E$18:$E$30,MATCH(AN45,$B$18:$B$30,0)),"No")="Yes",COUNTIF($C$32:$C44,AN45)&lt;$B$6,COUNTIF($C$32:$C44,AN45)&lt;IF($B$3="Stage 1",MIN($B$6,MAX(1,INT($B$5/$B$11))),IF(AND($B$3="Stage 3",$B$5=20,$B$11&gt;11),1,IF(AND($B$3="Stage 3",OR($B$15="Year 10-11-12 Girls"),$B$5&gt;20),MAX(2,Setup!$B$14),Setup!$B$14)))))</f>
        <v>0</v>
      </c>
      <c r="BP45" s="20" t="b">
        <f>IF(AO45="",FALSE,AND(AO45&lt;&gt;IF(AND($B$3="Stage 3",OR($B$15="Year 8 Boys",$B$15="Year 9 Boys",$B$15="Year 10-11 Boys"),$B$8="One Keeper"),$E$4,""),AO45&lt;&gt;$B45,AO45&lt;&gt;$C44,IFERROR(INDEX($E$18:$E$30,MATCH(AO45,$B$18:$B$30,0)),"No")="Yes",COUNTIF($C$32:$C44,AO45)&lt;$B$6,COUNTIF($C$32:$C44,AO45)&lt;IF($B$3="Stage 1",MIN($B$6,MAX(1,INT($B$5/$B$11))),IF(AND($B$3="Stage 3",$B$5=20,$B$11&gt;11),1,IF(AND($B$3="Stage 3",OR($B$15="Year 10-11-12 Girls"),$B$5&gt;20),MAX(2,Setup!$B$14),Setup!$B$14)))))</f>
        <v>0</v>
      </c>
      <c r="BQ45" s="20" t="b">
        <f>IF(AP45="",FALSE,AND(AP45&lt;&gt;IF(AND($B$3="Stage 3",OR($B$15="Year 8 Boys",$B$15="Year 9 Boys",$B$15="Year 10-11 Boys"),$B$8="One Keeper"),$E$4,""),AP45&lt;&gt;$B45,AP45&lt;&gt;$C44,IFERROR(INDEX($E$18:$E$30,MATCH(AP45,$B$18:$B$30,0)),"No")="Yes",COUNTIF($C$32:$C44,AP45)&lt;$B$6,COUNTIF($C$32:$C44,AP45)&lt;IF($B$3="Stage 1",MIN($B$6,MAX(1,INT($B$5/$B$11))),IF(AND($B$3="Stage 3",$B$5=20,$B$11&gt;11),1,IF(AND($B$3="Stage 3",OR($B$15="Year 10-11-12 Girls"),$B$5&gt;20),MAX(2,Setup!$B$14),Setup!$B$14)))))</f>
        <v>0</v>
      </c>
      <c r="BR45" s="20" t="b">
        <f>IF(AQ45="",FALSE,AND(AQ45&lt;&gt;IF(AND($B$3="Stage 3",OR($B$15="Year 8 Boys",$B$15="Year 9 Boys",$B$15="Year 10-11 Boys"),$B$8="One Keeper"),$E$4,""),AQ45&lt;&gt;$B45,AQ45&lt;&gt;$C44,IFERROR(INDEX($E$18:$E$30,MATCH(AQ45,$B$18:$B$30,0)),"No")="Yes",COUNTIF($C$32:$C44,AQ45)&lt;$B$6,COUNTIF($C$32:$C44,AQ45)&lt;IF($B$3="Stage 1",MIN($B$6,MAX(1,INT($B$5/$B$11))),IF(AND($B$3="Stage 3",$B$5=20,$B$11&gt;11),1,IF(AND($B$3="Stage 3",OR($B$15="Year 10-11-12 Girls"),$B$5&gt;20),MAX(2,Setup!$B$14),Setup!$B$14)))))</f>
        <v>0</v>
      </c>
      <c r="BS45" s="20" t="b">
        <f>IF(AR45="",FALSE,AND(AR45&lt;&gt;IF(AND($B$3="Stage 3",OR($B$15="Year 8 Boys",$B$15="Year 9 Boys",$B$15="Year 10-11 Boys"),$B$8="One Keeper"),$E$4,""),AR45&lt;&gt;$B45,AR45&lt;&gt;$C44,IFERROR(INDEX($E$18:$E$30,MATCH(AR45,$B$18:$B$30,0)),"No")="Yes",COUNTIF($C$32:$C44,AR45)&lt;$B$6,COUNTIF($C$32:$C44,AR45)&lt;IF($B$3="Stage 1",MIN($B$6,MAX(1,INT($B$5/$B$11))),IF(AND($B$3="Stage 3",$B$5=20,$B$11&gt;11),1,IF(AND($B$3="Stage 3",OR($B$15="Year 10-11-12 Girls"),$B$5&gt;20),MAX(2,Setup!$B$14),Setup!$B$14)))))</f>
        <v>0</v>
      </c>
      <c r="BT45" s="20" t="b">
        <f>IF(AS45="",FALSE,AND(AS45&lt;&gt;IF(AND($B$3="Stage 3",OR($B$15="Year 8 Boys",$B$15="Year 9 Boys",$B$15="Year 10-11 Boys"),$B$8="One Keeper"),$E$4,""),AS45&lt;&gt;$B45,AS45&lt;&gt;$C44,IFERROR(INDEX($E$18:$E$30,MATCH(AS45,$B$18:$B$30,0)),"No")="Yes",COUNTIF($C$32:$C44,AS45)&lt;$B$6,COUNTIF($C$32:$C44,AS45)&lt;IF($B$3="Stage 1",MIN($B$6,MAX(1,INT($B$5/$B$11))),IF(AND($B$3="Stage 3",$B$5=20,$B$11&gt;11),1,IF(AND($B$3="Stage 3",OR($B$15="Year 10-11-12 Girls"),$B$5&gt;20),MAX(2,Setup!$B$14),Setup!$B$14)))))</f>
        <v>0</v>
      </c>
      <c r="BU45" s="20" t="b">
        <f>IF(AT45="",FALSE,AND(AT45&lt;&gt;IF(AND($B$3="Stage 3",OR($B$15="Year 8 Boys",$B$15="Year 9 Boys",$B$15="Year 10-11 Boys"),$B$8="One Keeper"),$E$4,""),AT45&lt;&gt;$B45,AT45&lt;&gt;$C44,IFERROR(INDEX($E$18:$E$30,MATCH(AT45,$B$18:$B$30,0)),"No")="Yes",COUNTIF($C$32:$C44,AT45)&lt;$B$6,COUNTIF($C$32:$C44,AT45)&lt;IF($B$3="Stage 1",MIN($B$6,MAX(1,INT($B$5/$B$11))),IF(AND($B$3="Stage 3",$B$5=20,$B$11&gt;11),1,IF(AND($B$3="Stage 3",OR($B$15="Year 10-11-12 Girls"),$B$5&gt;20),MAX(2,Setup!$B$14),Setup!$B$14)))))</f>
        <v>1</v>
      </c>
      <c r="BV45" s="20" t="b">
        <f>IF(AU45="",FALSE,AND(AU45&lt;&gt;IF(AND($B$3="Stage 3",OR($B$15="Year 8 Boys",$B$15="Year 9 Boys",$B$15="Year 10-11 Boys"),$B$8="One Keeper"),$E$4,""),AU45&lt;&gt;$B45,AU45&lt;&gt;$C44,IFERROR(INDEX($E$18:$E$30,MATCH(AU45,$B$18:$B$30,0)),"No")="Yes",COUNTIF($C$32:$C44,AU45)&lt;$B$6,COUNTIF($C$32:$C44,AU45)&lt;IF($B$3="Stage 1",MIN($B$6,MAX(1,INT($B$5/$B$11))),IF(AND($B$3="Stage 3",$B$5=20,$B$11&gt;11),1,IF(AND($B$3="Stage 3",OR($B$15="Year 10-11-12 Girls"),$B$5&gt;20),MAX(2,Setup!$B$14),Setup!$B$14)))))</f>
        <v>0</v>
      </c>
      <c r="BW45" s="20"/>
      <c r="BX45" s="20"/>
      <c r="BY45" s="20"/>
      <c r="BZ45" s="20"/>
      <c r="CA45" s="20"/>
      <c r="CB45" s="20"/>
      <c r="CC45" s="20"/>
      <c r="CD45" s="20"/>
      <c r="CE45" s="20"/>
      <c r="CF45" s="20"/>
      <c r="CG45" s="20"/>
      <c r="CH45" s="20"/>
      <c r="CI45" s="20"/>
      <c r="CJ45" s="20"/>
      <c r="CK45" s="20"/>
    </row>
    <row r="46" spans="1:89" ht="26.4" customHeight="1">
      <c r="A46" s="18">
        <v>15</v>
      </c>
      <c r="B46" s="18" t="str">
        <f t="shared" si="5"/>
        <v>Player 2</v>
      </c>
      <c r="C46" s="18" t="str">
        <f t="shared" si="6"/>
        <v>Player 3</v>
      </c>
      <c r="D46" s="18">
        <f t="shared" si="7"/>
        <v>1</v>
      </c>
      <c r="E46" s="18">
        <f>IF($C46="","",COUNTIF($C$32:C46,$C46))</f>
        <v>3</v>
      </c>
      <c r="F46" s="18" t="str">
        <f t="shared" si="8"/>
        <v/>
      </c>
      <c r="H46" s="18" t="s">
        <v>154</v>
      </c>
      <c r="I46" s="18" t="str">
        <f>IF(SUMPRODUCT(--($L$18:$L$30&lt;&gt;""))=0,"OK","Review batting checks")</f>
        <v>OK</v>
      </c>
      <c r="J46" s="18"/>
      <c r="K46" s="18"/>
      <c r="L46" s="18"/>
      <c r="M46" s="18"/>
      <c r="N46" s="18"/>
      <c r="T46" s="20">
        <f t="shared" si="15"/>
        <v>1</v>
      </c>
      <c r="U46" s="20" t="b">
        <f>IF(OR($B$3="Stage 2",AND($B$3="Stage 3",OR($B$15="Year 10-11-12 Girls"))),(IF(AND($P$18&lt;&gt;"",$P$18&lt;&gt;$E$4,COUNTIF($C$32:$C45,$P$18)&gt;=2),1,0)+IF(AND($P$19&lt;&gt;"",$P$19&lt;&gt;$E$4,COUNTIF($C$32:$C45,$P$19)&gt;=2),1,0)+IF(AND($P$20&lt;&gt;"",$P$20&lt;&gt;$E$4,COUNTIF($C$32:$C45,$P$20)&gt;=2),1,0)+IF(AND($P$21&lt;&gt;"",$P$21&lt;&gt;$E$4,COUNTIF($C$32:$C45,$P$21)&gt;=2),1,0)+IF(AND($P$22&lt;&gt;"",$P$22&lt;&gt;$E$4,COUNTIF($C$32:$C45,$P$22)&gt;=2),1,0)+IF(AND($P$23&lt;&gt;"",$P$23&lt;&gt;$E$4,COUNTIF($C$32:$C45,$P$23)&gt;=2),1,0)+IF(AND($P$24&lt;&gt;"",$P$24&lt;&gt;$E$4,COUNTIF($C$32:$C45,$P$24)&gt;=2),1,0)+IF(AND($P$25&lt;&gt;"",$P$25&lt;&gt;$E$4,COUNTIF($C$32:$C45,$P$25)&gt;=2),1,0)+IF(AND($P$26&lt;&gt;"",$P$26&lt;&gt;$E$4,COUNTIF($C$32:$C45,$P$26)&gt;=2),1,0)+IF(AND($P$27&lt;&gt;"",$P$27&lt;&gt;$E$4,COUNTIF($C$32:$C45,$P$27)&gt;=2),1,0)+IF(AND($P$28&lt;&gt;"",$P$28&lt;&gt;$E$4,COUNTIF($C$32:$C45,$P$28)&gt;=2),1,0)+IF(AND($P$29&lt;&gt;"",$P$29&lt;&gt;$E$4,COUNTIF($C$32:$C45,$P$29)&gt;=2),1,0)+IF(AND($P$30&lt;&gt;"",$P$30&lt;&gt;$E$4,COUNTIF($C$32:$C45,$P$30)&gt;=2),1,0))&gt;=MAX(0,$B$11-1),IF(AND($B$3="Stage 3",OR($B$15="Year 8 Boys",$B$15="Year 9 Boys",$B$15="Year 10-11 Boys")),(IF(AND($P$18&lt;&gt;"",COUNTIF($C$32:$C45,$P$18)&gt;=2),1,0)+IF(AND($P$19&lt;&gt;"",COUNTIF($C$32:$C45,$P$19)&gt;=2),1,0)+IF(AND($P$20&lt;&gt;"",COUNTIF($C$32:$C45,$P$20)&gt;=2),1,0)+IF(AND($P$21&lt;&gt;"",COUNTIF($C$32:$C45,$P$21)&gt;=2),1,0)+IF(AND($P$22&lt;&gt;"",COUNTIF($C$32:$C45,$P$22)&gt;=2),1,0)+IF(AND($P$23&lt;&gt;"",COUNTIF($C$32:$C45,$P$23)&gt;=2),1,0)+IF(AND($P$24&lt;&gt;"",COUNTIF($C$32:$C45,$P$24)&gt;=2),1,0)+IF(AND($P$25&lt;&gt;"",COUNTIF($C$32:$C45,$P$25)&gt;=2),1,0)+IF(AND($P$26&lt;&gt;"",COUNTIF($C$32:$C45,$P$26)&gt;=2),1,0)+IF(AND($P$27&lt;&gt;"",COUNTIF($C$32:$C45,$P$27)&gt;=2),1,0)+IF(AND($P$28&lt;&gt;"",COUNTIF($C$32:$C45,$P$28)&gt;=2),1,0)+IF(AND($P$29&lt;&gt;"",COUNTIF($C$32:$C45,$P$29)&gt;=2),1,0)+IF(AND($P$30&lt;&gt;"",COUNTIF($C$32:$C45,$P$30)&gt;=2),1,0))&gt;=7,TRUE))</f>
        <v>1</v>
      </c>
      <c r="V46" s="20">
        <f t="shared" si="30"/>
        <v>1</v>
      </c>
      <c r="W46" s="20">
        <f t="shared" si="30"/>
        <v>2</v>
      </c>
      <c r="X46" s="20">
        <f t="shared" si="30"/>
        <v>3</v>
      </c>
      <c r="Y46" s="20">
        <f t="shared" si="30"/>
        <v>4</v>
      </c>
      <c r="Z46" s="20">
        <f t="shared" si="30"/>
        <v>5</v>
      </c>
      <c r="AA46" s="20">
        <f t="shared" si="30"/>
        <v>6</v>
      </c>
      <c r="AB46" s="20">
        <f t="shared" si="30"/>
        <v>7</v>
      </c>
      <c r="AC46" s="20">
        <f t="shared" si="30"/>
        <v>1</v>
      </c>
      <c r="AD46" s="20">
        <f t="shared" si="30"/>
        <v>2</v>
      </c>
      <c r="AE46" s="20">
        <f t="shared" si="30"/>
        <v>3</v>
      </c>
      <c r="AF46" s="20">
        <f t="shared" si="30"/>
        <v>4</v>
      </c>
      <c r="AG46" s="20">
        <f t="shared" si="30"/>
        <v>5</v>
      </c>
      <c r="AH46" s="20">
        <f t="shared" si="30"/>
        <v>6</v>
      </c>
      <c r="AI46" s="20" t="str">
        <f t="shared" si="17"/>
        <v>Player 3</v>
      </c>
      <c r="AJ46" s="20" t="str">
        <f t="shared" si="18"/>
        <v>Player 4</v>
      </c>
      <c r="AK46" s="20" t="str">
        <f t="shared" si="19"/>
        <v>Player 5</v>
      </c>
      <c r="AL46" s="20" t="str">
        <f t="shared" si="20"/>
        <v>Player 6</v>
      </c>
      <c r="AM46" s="20" t="str">
        <f t="shared" si="21"/>
        <v>Player 7</v>
      </c>
      <c r="AN46" s="20" t="str">
        <f t="shared" si="22"/>
        <v>Player 1</v>
      </c>
      <c r="AO46" s="20" t="str">
        <f t="shared" si="23"/>
        <v>Player 2</v>
      </c>
      <c r="AP46" s="20" t="str">
        <f t="shared" si="24"/>
        <v>Player 3</v>
      </c>
      <c r="AQ46" s="20" t="str">
        <f t="shared" si="25"/>
        <v>Player 4</v>
      </c>
      <c r="AR46" s="20" t="str">
        <f t="shared" si="26"/>
        <v>Player 5</v>
      </c>
      <c r="AS46" s="20" t="str">
        <f t="shared" si="27"/>
        <v>Player 6</v>
      </c>
      <c r="AT46" s="20" t="str">
        <f t="shared" si="28"/>
        <v>Player 7</v>
      </c>
      <c r="AU46" s="20" t="str">
        <f t="shared" si="29"/>
        <v>Player 1</v>
      </c>
      <c r="AV46" s="20" t="b">
        <f>IF(AI46="",FALSE,AND(AI46&lt;&gt;$B46,AI46&lt;&gt;$C45,IFERROR(INDEX($E$18:$E$30,MATCH(AI46,$B$18:$B$30,0)),"No")="Yes",IF(AND(OR($B$3="Stage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Girls"))),$B$5&gt;20),MIN(3,MAX(2,Setup!$B$14)),2))*2),AI46=$E$5,IF(AND(OR($B$3="Stage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Girls"))),$B$5&gt;20),MIN(3,MAX(2,Setup!$B$14)),2))*2-1))),AI46=$E$4,TRUE)),COUNTIF($C$32:$C45,AI46)&lt;$B$6,IF($BI46,COUNTIF($C$32:$C45,AI46)&lt;IF($B$3="Stage 1",MIN($B$6,MAX(1,INT($B$5/$B$11))),IF(AND($B$3="Stage 3",$B$5=20,$B$11&gt;11),1,IF(AND($B$3="Stage 3",OR($B$15="Year 10-11-12 Girls"),$B$5&gt;20),MAX(2,Setup!$B$14),Setup!$B$14))),IF(AND($B$3&lt;&gt;"Stage 2",$B$3&lt;&gt;"Stage 3"),TRUE,IF($U46,TRUE,COUNTIF($C$32:$C45,AI46)&lt;IF(AND($B$3="Stage 2",$B$5=20,AI46=$E$5,$A46&lt;=IF($B$8="One Keeper",$B$5,$B$8)),2,IF(AND(OR($B$3="Stage 2",AND($B$3="Stage 3",OR($B$15="Year 10-11-12 Girls"))),AI46=$E$5,$A46&lt;=IF($B$8="One Keeper",$B$5,$B$8)),3,$B$9)))))))</f>
        <v>1</v>
      </c>
      <c r="AW46" s="20" t="b">
        <f>IF(AJ46="",FALSE,AND(AJ46&lt;&gt;$B46,AJ46&lt;&gt;$C45,IFERROR(INDEX($E$18:$E$30,MATCH(AJ46,$B$18:$B$30,0)),"No")="Yes",IF(AND(OR($B$3="Stage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Girls"))),$B$5&gt;20),MIN(3,MAX(2,Setup!$B$14)),2))*2),AJ46=$E$5,IF(AND(OR($B$3="Stage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Girls"))),$B$5&gt;20),MIN(3,MAX(2,Setup!$B$14)),2))*2-1))),AJ46=$E$4,TRUE)),COUNTIF($C$32:$C45,AJ46)&lt;$B$6,IF($BI46,COUNTIF($C$32:$C45,AJ46)&lt;IF($B$3="Stage 1",MIN($B$6,MAX(1,INT($B$5/$B$11))),IF(AND($B$3="Stage 3",$B$5=20,$B$11&gt;11),1,IF(AND($B$3="Stage 3",OR($B$15="Year 10-11-12 Girls"),$B$5&gt;20),MAX(2,Setup!$B$14),Setup!$B$14))),IF(AND($B$3&lt;&gt;"Stage 2",$B$3&lt;&gt;"Stage 3"),TRUE,IF($U46,TRUE,COUNTIF($C$32:$C45,AJ46)&lt;IF(AND($B$3="Stage 2",$B$5=20,AJ46=$E$5,$A46&lt;=IF($B$8="One Keeper",$B$5,$B$8)),2,IF(AND(OR($B$3="Stage 2",AND($B$3="Stage 3",OR($B$15="Year 10-11-12 Girls"))),AJ46=$E$5,$A46&lt;=IF($B$8="One Keeper",$B$5,$B$8)),3,$B$9)))))))</f>
        <v>1</v>
      </c>
      <c r="AX46" s="20" t="b">
        <f>IF(AK46="",FALSE,AND(AK46&lt;&gt;$B46,AK46&lt;&gt;$C45,IFERROR(INDEX($E$18:$E$30,MATCH(AK46,$B$18:$B$30,0)),"No")="Yes",IF(AND(OR($B$3="Stage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Girls"))),$B$5&gt;20),MIN(3,MAX(2,Setup!$B$14)),2))*2),AK46=$E$5,IF(AND(OR($B$3="Stage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Girls"))),$B$5&gt;20),MIN(3,MAX(2,Setup!$B$14)),2))*2-1))),AK46=$E$4,TRUE)),COUNTIF($C$32:$C45,AK46)&lt;$B$6,IF($BI46,COUNTIF($C$32:$C45,AK46)&lt;IF($B$3="Stage 1",MIN($B$6,MAX(1,INT($B$5/$B$11))),IF(AND($B$3="Stage 3",$B$5=20,$B$11&gt;11),1,IF(AND($B$3="Stage 3",OR($B$15="Year 10-11-12 Girls"),$B$5&gt;20),MAX(2,Setup!$B$14),Setup!$B$14))),IF(AND($B$3&lt;&gt;"Stage 2",$B$3&lt;&gt;"Stage 3"),TRUE,IF($U46,TRUE,COUNTIF($C$32:$C45,AK46)&lt;IF(AND($B$3="Stage 2",$B$5=20,AK46=$E$5,$A46&lt;=IF($B$8="One Keeper",$B$5,$B$8)),2,IF(AND(OR($B$3="Stage 2",AND($B$3="Stage 3",OR($B$15="Year 10-11-12 Girls"))),AK46=$E$5,$A46&lt;=IF($B$8="One Keeper",$B$5,$B$8)),3,$B$9)))))))</f>
        <v>1</v>
      </c>
      <c r="AY46" s="20" t="b">
        <f>IF(AL46="",FALSE,AND(AL46&lt;&gt;$B46,AL46&lt;&gt;$C45,IFERROR(INDEX($E$18:$E$30,MATCH(AL46,$B$18:$B$30,0)),"No")="Yes",IF(AND(OR($B$3="Stage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Girls"))),$B$5&gt;20),MIN(3,MAX(2,Setup!$B$14)),2))*2),AL46=$E$5,IF(AND(OR($B$3="Stage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Girls"))),$B$5&gt;20),MIN(3,MAX(2,Setup!$B$14)),2))*2-1))),AL46=$E$4,TRUE)),COUNTIF($C$32:$C45,AL46)&lt;$B$6,IF($BI46,COUNTIF($C$32:$C45,AL46)&lt;IF($B$3="Stage 1",MIN($B$6,MAX(1,INT($B$5/$B$11))),IF(AND($B$3="Stage 3",$B$5=20,$B$11&gt;11),1,IF(AND($B$3="Stage 3",OR($B$15="Year 10-11-12 Girls"),$B$5&gt;20),MAX(2,Setup!$B$14),Setup!$B$14))),IF(AND($B$3&lt;&gt;"Stage 2",$B$3&lt;&gt;"Stage 3"),TRUE,IF($U46,TRUE,COUNTIF($C$32:$C45,AL46)&lt;IF(AND($B$3="Stage 2",$B$5=20,AL46=$E$5,$A46&lt;=IF($B$8="One Keeper",$B$5,$B$8)),2,IF(AND(OR($B$3="Stage 2",AND($B$3="Stage 3",OR($B$15="Year 10-11-12 Girls"))),AL46=$E$5,$A46&lt;=IF($B$8="One Keeper",$B$5,$B$8)),3,$B$9)))))))</f>
        <v>0</v>
      </c>
      <c r="AZ46" s="20" t="b">
        <f>IF(AM46="",FALSE,AND(AM46&lt;&gt;$B46,AM46&lt;&gt;$C45,IFERROR(INDEX($E$18:$E$30,MATCH(AM46,$B$18:$B$30,0)),"No")="Yes",IF(AND(OR($B$3="Stage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Girls"))),$B$5&gt;20),MIN(3,MAX(2,Setup!$B$14)),2))*2),AM46=$E$5,IF(AND(OR($B$3="Stage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Girls"))),$B$5&gt;20),MIN(3,MAX(2,Setup!$B$14)),2))*2-1))),AM46=$E$4,TRUE)),COUNTIF($C$32:$C45,AM46)&lt;$B$6,IF($BI46,COUNTIF($C$32:$C45,AM46)&lt;IF($B$3="Stage 1",MIN($B$6,MAX(1,INT($B$5/$B$11))),IF(AND($B$3="Stage 3",$B$5=20,$B$11&gt;11),1,IF(AND($B$3="Stage 3",OR($B$15="Year 10-11-12 Girls"),$B$5&gt;20),MAX(2,Setup!$B$14),Setup!$B$14))),IF(AND($B$3&lt;&gt;"Stage 2",$B$3&lt;&gt;"Stage 3"),TRUE,IF($U46,TRUE,COUNTIF($C$32:$C45,AM46)&lt;IF(AND($B$3="Stage 2",$B$5=20,AM46=$E$5,$A46&lt;=IF($B$8="One Keeper",$B$5,$B$8)),2,IF(AND(OR($B$3="Stage 2",AND($B$3="Stage 3",OR($B$15="Year 10-11-12 Girls"))),AM46=$E$5,$A46&lt;=IF($B$8="One Keeper",$B$5,$B$8)),3,$B$9)))))))</f>
        <v>1</v>
      </c>
      <c r="BA46" s="20" t="b">
        <f>IF(AN46="",FALSE,AND(AN46&lt;&gt;$B46,AN46&lt;&gt;$C45,IFERROR(INDEX($E$18:$E$30,MATCH(AN46,$B$18:$B$30,0)),"No")="Yes",IF(AND(OR($B$3="Stage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Girls"))),$B$5&gt;20),MIN(3,MAX(2,Setup!$B$14)),2))*2),AN46=$E$5,IF(AND(OR($B$3="Stage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Girls"))),$B$5&gt;20),MIN(3,MAX(2,Setup!$B$14)),2))*2-1))),AN46=$E$4,TRUE)),COUNTIF($C$32:$C45,AN46)&lt;$B$6,IF($BI46,COUNTIF($C$32:$C45,AN46)&lt;IF($B$3="Stage 1",MIN($B$6,MAX(1,INT($B$5/$B$11))),IF(AND($B$3="Stage 3",$B$5=20,$B$11&gt;11),1,IF(AND($B$3="Stage 3",OR($B$15="Year 10-11-12 Girls"),$B$5&gt;20),MAX(2,Setup!$B$14),Setup!$B$14))),IF(AND($B$3&lt;&gt;"Stage 2",$B$3&lt;&gt;"Stage 3"),TRUE,IF($U46,TRUE,COUNTIF($C$32:$C45,AN46)&lt;IF(AND($B$3="Stage 2",$B$5=20,AN46=$E$5,$A46&lt;=IF($B$8="One Keeper",$B$5,$B$8)),2,IF(AND(OR($B$3="Stage 2",AND($B$3="Stage 3",OR($B$15="Year 10-11-12 Girls"))),AN46=$E$5,$A46&lt;=IF($B$8="One Keeper",$B$5,$B$8)),3,$B$9)))))))</f>
        <v>1</v>
      </c>
      <c r="BB46" s="20" t="b">
        <f>IF(AO46="",FALSE,AND(AO46&lt;&gt;$B46,AO46&lt;&gt;$C45,IFERROR(INDEX($E$18:$E$30,MATCH(AO46,$B$18:$B$30,0)),"No")="Yes",IF(AND(OR($B$3="Stage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Girls"))),$B$5&gt;20),MIN(3,MAX(2,Setup!$B$14)),2))*2),AO46=$E$5,IF(AND(OR($B$3="Stage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Girls"))),$B$5&gt;20),MIN(3,MAX(2,Setup!$B$14)),2))*2-1))),AO46=$E$4,TRUE)),COUNTIF($C$32:$C45,AO46)&lt;$B$6,IF($BI46,COUNTIF($C$32:$C45,AO46)&lt;IF($B$3="Stage 1",MIN($B$6,MAX(1,INT($B$5/$B$11))),IF(AND($B$3="Stage 3",$B$5=20,$B$11&gt;11),1,IF(AND($B$3="Stage 3",OR($B$15="Year 10-11-12 Girls"),$B$5&gt;20),MAX(2,Setup!$B$14),Setup!$B$14))),IF(AND($B$3&lt;&gt;"Stage 2",$B$3&lt;&gt;"Stage 3"),TRUE,IF($U46,TRUE,COUNTIF($C$32:$C45,AO46)&lt;IF(AND($B$3="Stage 2",$B$5=20,AO46=$E$5,$A46&lt;=IF($B$8="One Keeper",$B$5,$B$8)),2,IF(AND(OR($B$3="Stage 2",AND($B$3="Stage 3",OR($B$15="Year 10-11-12 Girls"))),AO46=$E$5,$A46&lt;=IF($B$8="One Keeper",$B$5,$B$8)),3,$B$9)))))))</f>
        <v>0</v>
      </c>
      <c r="BC46" s="20" t="b">
        <f>IF(AP46="",FALSE,AND(AP46&lt;&gt;$B46,AP46&lt;&gt;$C45,IFERROR(INDEX($E$18:$E$30,MATCH(AP46,$B$18:$B$30,0)),"No")="Yes",IF(AND(OR($B$3="Stage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Girls"))),$B$5&gt;20),MIN(3,MAX(2,Setup!$B$14)),2))*2),AP46=$E$5,IF(AND(OR($B$3="Stage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Girls"))),$B$5&gt;20),MIN(3,MAX(2,Setup!$B$14)),2))*2-1))),AP46=$E$4,TRUE)),COUNTIF($C$32:$C45,AP46)&lt;$B$6,IF($BI46,COUNTIF($C$32:$C45,AP46)&lt;IF($B$3="Stage 1",MIN($B$6,MAX(1,INT($B$5/$B$11))),IF(AND($B$3="Stage 3",$B$5=20,$B$11&gt;11),1,IF(AND($B$3="Stage 3",OR($B$15="Year 10-11-12 Girls"),$B$5&gt;20),MAX(2,Setup!$B$14),Setup!$B$14))),IF(AND($B$3&lt;&gt;"Stage 2",$B$3&lt;&gt;"Stage 3"),TRUE,IF($U46,TRUE,COUNTIF($C$32:$C45,AP46)&lt;IF(AND($B$3="Stage 2",$B$5=20,AP46=$E$5,$A46&lt;=IF($B$8="One Keeper",$B$5,$B$8)),2,IF(AND(OR($B$3="Stage 2",AND($B$3="Stage 3",OR($B$15="Year 10-11-12 Girls"))),AP46=$E$5,$A46&lt;=IF($B$8="One Keeper",$B$5,$B$8)),3,$B$9)))))))</f>
        <v>1</v>
      </c>
      <c r="BD46" s="20" t="b">
        <f>IF(AQ46="",FALSE,AND(AQ46&lt;&gt;$B46,AQ46&lt;&gt;$C45,IFERROR(INDEX($E$18:$E$30,MATCH(AQ46,$B$18:$B$30,0)),"No")="Yes",IF(AND(OR($B$3="Stage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Girls"))),$B$5&gt;20),MIN(3,MAX(2,Setup!$B$14)),2))*2),AQ46=$E$5,IF(AND(OR($B$3="Stage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Girls"))),$B$5&gt;20),MIN(3,MAX(2,Setup!$B$14)),2))*2-1))),AQ46=$E$4,TRUE)),COUNTIF($C$32:$C45,AQ46)&lt;$B$6,IF($BI46,COUNTIF($C$32:$C45,AQ46)&lt;IF($B$3="Stage 1",MIN($B$6,MAX(1,INT($B$5/$B$11))),IF(AND($B$3="Stage 3",$B$5=20,$B$11&gt;11),1,IF(AND($B$3="Stage 3",OR($B$15="Year 10-11-12 Girls"),$B$5&gt;20),MAX(2,Setup!$B$14),Setup!$B$14))),IF(AND($B$3&lt;&gt;"Stage 2",$B$3&lt;&gt;"Stage 3"),TRUE,IF($U46,TRUE,COUNTIF($C$32:$C45,AQ46)&lt;IF(AND($B$3="Stage 2",$B$5=20,AQ46=$E$5,$A46&lt;=IF($B$8="One Keeper",$B$5,$B$8)),2,IF(AND(OR($B$3="Stage 2",AND($B$3="Stage 3",OR($B$15="Year 10-11-12 Girls"))),AQ46=$E$5,$A46&lt;=IF($B$8="One Keeper",$B$5,$B$8)),3,$B$9)))))))</f>
        <v>1</v>
      </c>
      <c r="BE46" s="20" t="b">
        <f>IF(AR46="",FALSE,AND(AR46&lt;&gt;$B46,AR46&lt;&gt;$C45,IFERROR(INDEX($E$18:$E$30,MATCH(AR46,$B$18:$B$30,0)),"No")="Yes",IF(AND(OR($B$3="Stage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Girls"))),$B$5&gt;20),MIN(3,MAX(2,Setup!$B$14)),2))*2),AR46=$E$5,IF(AND(OR($B$3="Stage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Girls"))),$B$5&gt;20),MIN(3,MAX(2,Setup!$B$14)),2))*2-1))),AR46=$E$4,TRUE)),COUNTIF($C$32:$C45,AR46)&lt;$B$6,IF($BI46,COUNTIF($C$32:$C45,AR46)&lt;IF($B$3="Stage 1",MIN($B$6,MAX(1,INT($B$5/$B$11))),IF(AND($B$3="Stage 3",$B$5=20,$B$11&gt;11),1,IF(AND($B$3="Stage 3",OR($B$15="Year 10-11-12 Girls"),$B$5&gt;20),MAX(2,Setup!$B$14),Setup!$B$14))),IF(AND($B$3&lt;&gt;"Stage 2",$B$3&lt;&gt;"Stage 3"),TRUE,IF($U46,TRUE,COUNTIF($C$32:$C45,AR46)&lt;IF(AND($B$3="Stage 2",$B$5=20,AR46=$E$5,$A46&lt;=IF($B$8="One Keeper",$B$5,$B$8)),2,IF(AND(OR($B$3="Stage 2",AND($B$3="Stage 3",OR($B$15="Year 10-11-12 Girls"))),AR46=$E$5,$A46&lt;=IF($B$8="One Keeper",$B$5,$B$8)),3,$B$9)))))))</f>
        <v>1</v>
      </c>
      <c r="BF46" s="20" t="b">
        <f>IF(AS46="",FALSE,AND(AS46&lt;&gt;$B46,AS46&lt;&gt;$C45,IFERROR(INDEX($E$18:$E$30,MATCH(AS46,$B$18:$B$30,0)),"No")="Yes",IF(AND(OR($B$3="Stage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Girls"))),$B$5&gt;20),MIN(3,MAX(2,Setup!$B$14)),2))*2),AS46=$E$5,IF(AND(OR($B$3="Stage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Girls"))),$B$5&gt;20),MIN(3,MAX(2,Setup!$B$14)),2))*2-1))),AS46=$E$4,TRUE)),COUNTIF($C$32:$C45,AS46)&lt;$B$6,IF($BI46,COUNTIF($C$32:$C45,AS46)&lt;IF($B$3="Stage 1",MIN($B$6,MAX(1,INT($B$5/$B$11))),IF(AND($B$3="Stage 3",$B$5=20,$B$11&gt;11),1,IF(AND($B$3="Stage 3",OR($B$15="Year 10-11-12 Girls"),$B$5&gt;20),MAX(2,Setup!$B$14),Setup!$B$14))),IF(AND($B$3&lt;&gt;"Stage 2",$B$3&lt;&gt;"Stage 3"),TRUE,IF($U46,TRUE,COUNTIF($C$32:$C45,AS46)&lt;IF(AND($B$3="Stage 2",$B$5=20,AS46=$E$5,$A46&lt;=IF($B$8="One Keeper",$B$5,$B$8)),2,IF(AND(OR($B$3="Stage 2",AND($B$3="Stage 3",OR($B$15="Year 10-11-12 Girls"))),AS46=$E$5,$A46&lt;=IF($B$8="One Keeper",$B$5,$B$8)),3,$B$9)))))))</f>
        <v>0</v>
      </c>
      <c r="BG46" s="20" t="b">
        <f>IF(AT46="",FALSE,AND(AT46&lt;&gt;$B46,AT46&lt;&gt;$C45,IFERROR(INDEX($E$18:$E$30,MATCH(AT46,$B$18:$B$30,0)),"No")="Yes",IF(AND(OR($B$3="Stage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Girls"))),$B$5&gt;20),MIN(3,MAX(2,Setup!$B$14)),2))*2),AT46=$E$5,IF(AND(OR($B$3="Stage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Girls"))),$B$5&gt;20),MIN(3,MAX(2,Setup!$B$14)),2))*2-1))),AT46=$E$4,TRUE)),COUNTIF($C$32:$C45,AT46)&lt;$B$6,IF($BI46,COUNTIF($C$32:$C45,AT46)&lt;IF($B$3="Stage 1",MIN($B$6,MAX(1,INT($B$5/$B$11))),IF(AND($B$3="Stage 3",$B$5=20,$B$11&gt;11),1,IF(AND($B$3="Stage 3",OR($B$15="Year 10-11-12 Girls"),$B$5&gt;20),MAX(2,Setup!$B$14),Setup!$B$14))),IF(AND($B$3&lt;&gt;"Stage 2",$B$3&lt;&gt;"Stage 3"),TRUE,IF($U46,TRUE,COUNTIF($C$32:$C45,AT46)&lt;IF(AND($B$3="Stage 2",$B$5=20,AT46=$E$5,$A46&lt;=IF($B$8="One Keeper",$B$5,$B$8)),2,IF(AND(OR($B$3="Stage 2",AND($B$3="Stage 3",OR($B$15="Year 10-11-12 Girls"))),AT46=$E$5,$A46&lt;=IF($B$8="One Keeper",$B$5,$B$8)),3,$B$9)))))))</f>
        <v>1</v>
      </c>
      <c r="BH46" s="20" t="b">
        <f>IF(AU46="",FALSE,AND(AU46&lt;&gt;$B46,AU46&lt;&gt;$C45,IFERROR(INDEX($E$18:$E$30,MATCH(AU46,$B$18:$B$30,0)),"No")="Yes",IF(AND(OR($B$3="Stage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Girls"))),$B$5&gt;20),MIN(3,MAX(2,Setup!$B$14)),2))*2),AU46=$E$5,IF(AND(OR($B$3="Stage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Girls"))),$B$5&gt;20),MIN(3,MAX(2,Setup!$B$14)),2))*2-1))),AU46=$E$4,TRUE)),COUNTIF($C$32:$C45,AU46)&lt;$B$6,IF($BI46,COUNTIF($C$32:$C45,AU46)&lt;IF($B$3="Stage 1",MIN($B$6,MAX(1,INT($B$5/$B$11))),IF(AND($B$3="Stage 3",$B$5=20,$B$11&gt;11),1,IF(AND($B$3="Stage 3",OR($B$15="Year 10-11-12 Girls"),$B$5&gt;20),MAX(2,Setup!$B$14),Setup!$B$14))),IF(AND($B$3&lt;&gt;"Stage 2",$B$3&lt;&gt;"Stage 3"),TRUE,IF($U46,TRUE,COUNTIF($C$32:$C45,AU46)&lt;IF(AND($B$3="Stage 2",$B$5=20,AU46=$E$5,$A46&lt;=IF($B$8="One Keeper",$B$5,$B$8)),2,IF(AND(OR($B$3="Stage 2",AND($B$3="Stage 3",OR($B$15="Year 10-11-12 Girls"))),AU46=$E$5,$A46&lt;=IF($B$8="One Keeper",$B$5,$B$8)),3,$B$9)))))))</f>
        <v>1</v>
      </c>
      <c r="BI46"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Keeper",$E$4&lt;&gt;$E$5,$A46&lt;=IF($B$8="One Keeper",$B$5,$B$8),COUNTIF($C$32:$C45,$E$5)&lt;IF(AND($B$3="Stage 3",$B$5=20,$B$11&gt;11),1,IF(AND(OR($B$3="Stage 2",AND($B$3="Stage 3",OR($B$15="Year 10-11-12 Girls"))),$B$5&gt;20),MIN(3,MAX(2,Setup!$B$14)),2)),IFERROR(INDEX($E$18:$E$30,MATCH($E$5,$B$18:$B$30,0)),"No")="Yes",$C45&lt;&gt;$E$5,MOD($A46,2)=0,$A46&lt;=IF(AND($B$3="Stage 3",$B$5=20,$B$11&gt;11),1,IF(AND(OR($B$3="Stage 2",AND($B$3="Stage 3",OR($B$15="Year 10-11-12 Girls"))),$B$5&gt;20),MIN(3,MAX(2,Setup!$B$14)),2))*2),AND(OR($B$3="Stage 1",$B$3="Stage 2",AND($B$3="Stage 3",OR(OR($B$15="Year 10-11-12 Girls"),OR($B$15="Year 8 Boys",$B$15="Year 9 Boys",$B$15="Year 10-11 Boys")))),$B$8&lt;&gt;"One Keeper",$E$4&lt;&gt;$E$5,$A46&gt;IF($B$8="One Keeper",$B$5,$B$8),COUNTIF($C$32:$C45,$E$4)&lt;IF(AND($B$3="Stage 3",$B$5=20,$B$11&gt;11),1,IF(AND(OR($B$3="Stage 2",AND($B$3="Stage 3",OR($B$15="Year 10-11-12 Girls"))),$B$5&gt;20),MIN(3,MAX(2,Setup!$B$14)),2)),IFERROR(INDEX($E$18:$E$30,MATCH($E$4,$B$18:$B$30,0)),"No")="Yes",$C45&lt;&gt;$E$4,IF($B$7="Three-over spell",AND(MOD($A46-IF($B$8="One Keeper",$B$5,$B$8)-1,3)=0,($A46-IF($B$8="One Keeper",$B$5,$B$8))&lt;=1+(IF(AND($B$3="Stage 3",$B$5=20,$B$11&gt;11),1,IF(AND(OR($B$3="Stage 2",AND($B$3="Stage 3",OR($B$15="Year 10-11-12 Girls"))),$B$5&gt;20),MIN(3,MAX(2,Setup!$B$14)),2))-1)*3),AND(MOD($A46-IF($B$8="One Keeper",$B$5,$B$8),2)=1,($A46-IF($B$8="One Keeper",$B$5,$B$8))&lt;=IF(AND($B$3="Stage 3",$B$5=20,$B$11&gt;11),1,IF(AND(OR($B$3="Stage 2",AND($B$3="Stage 3",OR($B$15="Year 10-11-12 Girls"))),$B$5&gt;20),MIN(3,MAX(2,Setup!$B$14)),2))*2-1))))),OR($U46,AND($B$3="Stage 3",$B$5=20,$B$11&gt;11)),OR($BJ46,$BK46,$BL46,$BM46,$BN46,$BO46,$BP46,$BQ46,$BR46,$BS46,$BT46,$BU46,$BV46))</f>
        <v>0</v>
      </c>
      <c r="BJ46" s="20" t="b">
        <f>IF(AI46="",FALSE,AND(AI46&lt;&gt;IF(AND($B$3="Stage 3",OR($B$15="Year 8 Boys",$B$15="Year 9 Boys",$B$15="Year 10-11 Boys"),$B$8="One Keeper"),$E$4,""),AI46&lt;&gt;$B46,AI46&lt;&gt;$C45,IFERROR(INDEX($E$18:$E$30,MATCH(AI46,$B$18:$B$30,0)),"No")="Yes",COUNTIF($C$32:$C45,AI46)&lt;$B$6,COUNTIF($C$32:$C45,AI46)&lt;IF($B$3="Stage 1",MIN($B$6,MAX(1,INT($B$5/$B$11))),IF(AND($B$3="Stage 3",$B$5=20,$B$11&gt;11),1,IF(AND($B$3="Stage 3",OR($B$15="Year 10-11-12 Girls"),$B$5&gt;20),MAX(2,Setup!$B$14),Setup!$B$14)))))</f>
        <v>0</v>
      </c>
      <c r="BK46" s="20" t="b">
        <f>IF(AJ46="",FALSE,AND(AJ46&lt;&gt;IF(AND($B$3="Stage 3",OR($B$15="Year 8 Boys",$B$15="Year 9 Boys",$B$15="Year 10-11 Boys"),$B$8="One Keeper"),$E$4,""),AJ46&lt;&gt;$B46,AJ46&lt;&gt;$C45,IFERROR(INDEX($E$18:$E$30,MATCH(AJ46,$B$18:$B$30,0)),"No")="Yes",COUNTIF($C$32:$C45,AJ46)&lt;$B$6,COUNTIF($C$32:$C45,AJ46)&lt;IF($B$3="Stage 1",MIN($B$6,MAX(1,INT($B$5/$B$11))),IF(AND($B$3="Stage 3",$B$5=20,$B$11&gt;11),1,IF(AND($B$3="Stage 3",OR($B$15="Year 10-11-12 Girls"),$B$5&gt;20),MAX(2,Setup!$B$14),Setup!$B$14)))))</f>
        <v>0</v>
      </c>
      <c r="BL46" s="20" t="b">
        <f>IF(AK46="",FALSE,AND(AK46&lt;&gt;IF(AND($B$3="Stage 3",OR($B$15="Year 8 Boys",$B$15="Year 9 Boys",$B$15="Year 10-11 Boys"),$B$8="One Keeper"),$E$4,""),AK46&lt;&gt;$B46,AK46&lt;&gt;$C45,IFERROR(INDEX($E$18:$E$30,MATCH(AK46,$B$18:$B$30,0)),"No")="Yes",COUNTIF($C$32:$C45,AK46)&lt;$B$6,COUNTIF($C$32:$C45,AK46)&lt;IF($B$3="Stage 1",MIN($B$6,MAX(1,INT($B$5/$B$11))),IF(AND($B$3="Stage 3",$B$5=20,$B$11&gt;11),1,IF(AND($B$3="Stage 3",OR($B$15="Year 10-11-12 Girls"),$B$5&gt;20),MAX(2,Setup!$B$14),Setup!$B$14)))))</f>
        <v>0</v>
      </c>
      <c r="BM46" s="20" t="b">
        <f>IF(AL46="",FALSE,AND(AL46&lt;&gt;IF(AND($B$3="Stage 3",OR($B$15="Year 8 Boys",$B$15="Year 9 Boys",$B$15="Year 10-11 Boys"),$B$8="One Keeper"),$E$4,""),AL46&lt;&gt;$B46,AL46&lt;&gt;$C45,IFERROR(INDEX($E$18:$E$30,MATCH(AL46,$B$18:$B$30,0)),"No")="Yes",COUNTIF($C$32:$C45,AL46)&lt;$B$6,COUNTIF($C$32:$C45,AL46)&lt;IF($B$3="Stage 1",MIN($B$6,MAX(1,INT($B$5/$B$11))),IF(AND($B$3="Stage 3",$B$5=20,$B$11&gt;11),1,IF(AND($B$3="Stage 3",OR($B$15="Year 10-11-12 Girls"),$B$5&gt;20),MAX(2,Setup!$B$14),Setup!$B$14)))))</f>
        <v>0</v>
      </c>
      <c r="BN46" s="20" t="b">
        <f>IF(AM46="",FALSE,AND(AM46&lt;&gt;IF(AND($B$3="Stage 3",OR($B$15="Year 8 Boys",$B$15="Year 9 Boys",$B$15="Year 10-11 Boys"),$B$8="One Keeper"),$E$4,""),AM46&lt;&gt;$B46,AM46&lt;&gt;$C45,IFERROR(INDEX($E$18:$E$30,MATCH(AM46,$B$18:$B$30,0)),"No")="Yes",COUNTIF($C$32:$C45,AM46)&lt;$B$6,COUNTIF($C$32:$C45,AM46)&lt;IF($B$3="Stage 1",MIN($B$6,MAX(1,INT($B$5/$B$11))),IF(AND($B$3="Stage 3",$B$5=20,$B$11&gt;11),1,IF(AND($B$3="Stage 3",OR($B$15="Year 10-11-12 Girls"),$B$5&gt;20),MAX(2,Setup!$B$14),Setup!$B$14)))))</f>
        <v>0</v>
      </c>
      <c r="BO46" s="20" t="b">
        <f>IF(AN46="",FALSE,AND(AN46&lt;&gt;IF(AND($B$3="Stage 3",OR($B$15="Year 8 Boys",$B$15="Year 9 Boys",$B$15="Year 10-11 Boys"),$B$8="One Keeper"),$E$4,""),AN46&lt;&gt;$B46,AN46&lt;&gt;$C45,IFERROR(INDEX($E$18:$E$30,MATCH(AN46,$B$18:$B$30,0)),"No")="Yes",COUNTIF($C$32:$C45,AN46)&lt;$B$6,COUNTIF($C$32:$C45,AN46)&lt;IF($B$3="Stage 1",MIN($B$6,MAX(1,INT($B$5/$B$11))),IF(AND($B$3="Stage 3",$B$5=20,$B$11&gt;11),1,IF(AND($B$3="Stage 3",OR($B$15="Year 10-11-12 Girls"),$B$5&gt;20),MAX(2,Setup!$B$14),Setup!$B$14)))))</f>
        <v>0</v>
      </c>
      <c r="BP46" s="20" t="b">
        <f>IF(AO46="",FALSE,AND(AO46&lt;&gt;IF(AND($B$3="Stage 3",OR($B$15="Year 8 Boys",$B$15="Year 9 Boys",$B$15="Year 10-11 Boys"),$B$8="One Keeper"),$E$4,""),AO46&lt;&gt;$B46,AO46&lt;&gt;$C45,IFERROR(INDEX($E$18:$E$30,MATCH(AO46,$B$18:$B$30,0)),"No")="Yes",COUNTIF($C$32:$C45,AO46)&lt;$B$6,COUNTIF($C$32:$C45,AO46)&lt;IF($B$3="Stage 1",MIN($B$6,MAX(1,INT($B$5/$B$11))),IF(AND($B$3="Stage 3",$B$5=20,$B$11&gt;11),1,IF(AND($B$3="Stage 3",OR($B$15="Year 10-11-12 Girls"),$B$5&gt;20),MAX(2,Setup!$B$14),Setup!$B$14)))))</f>
        <v>0</v>
      </c>
      <c r="BQ46" s="20" t="b">
        <f>IF(AP46="",FALSE,AND(AP46&lt;&gt;IF(AND($B$3="Stage 3",OR($B$15="Year 8 Boys",$B$15="Year 9 Boys",$B$15="Year 10-11 Boys"),$B$8="One Keeper"),$E$4,""),AP46&lt;&gt;$B46,AP46&lt;&gt;$C45,IFERROR(INDEX($E$18:$E$30,MATCH(AP46,$B$18:$B$30,0)),"No")="Yes",COUNTIF($C$32:$C45,AP46)&lt;$B$6,COUNTIF($C$32:$C45,AP46)&lt;IF($B$3="Stage 1",MIN($B$6,MAX(1,INT($B$5/$B$11))),IF(AND($B$3="Stage 3",$B$5=20,$B$11&gt;11),1,IF(AND($B$3="Stage 3",OR($B$15="Year 10-11-12 Girls"),$B$5&gt;20),MAX(2,Setup!$B$14),Setup!$B$14)))))</f>
        <v>0</v>
      </c>
      <c r="BR46" s="20" t="b">
        <f>IF(AQ46="",FALSE,AND(AQ46&lt;&gt;IF(AND($B$3="Stage 3",OR($B$15="Year 8 Boys",$B$15="Year 9 Boys",$B$15="Year 10-11 Boys"),$B$8="One Keeper"),$E$4,""),AQ46&lt;&gt;$B46,AQ46&lt;&gt;$C45,IFERROR(INDEX($E$18:$E$30,MATCH(AQ46,$B$18:$B$30,0)),"No")="Yes",COUNTIF($C$32:$C45,AQ46)&lt;$B$6,COUNTIF($C$32:$C45,AQ46)&lt;IF($B$3="Stage 1",MIN($B$6,MAX(1,INT($B$5/$B$11))),IF(AND($B$3="Stage 3",$B$5=20,$B$11&gt;11),1,IF(AND($B$3="Stage 3",OR($B$15="Year 10-11-12 Girls"),$B$5&gt;20),MAX(2,Setup!$B$14),Setup!$B$14)))))</f>
        <v>0</v>
      </c>
      <c r="BS46" s="20" t="b">
        <f>IF(AR46="",FALSE,AND(AR46&lt;&gt;IF(AND($B$3="Stage 3",OR($B$15="Year 8 Boys",$B$15="Year 9 Boys",$B$15="Year 10-11 Boys"),$B$8="One Keeper"),$E$4,""),AR46&lt;&gt;$B46,AR46&lt;&gt;$C45,IFERROR(INDEX($E$18:$E$30,MATCH(AR46,$B$18:$B$30,0)),"No")="Yes",COUNTIF($C$32:$C45,AR46)&lt;$B$6,COUNTIF($C$32:$C45,AR46)&lt;IF($B$3="Stage 1",MIN($B$6,MAX(1,INT($B$5/$B$11))),IF(AND($B$3="Stage 3",$B$5=20,$B$11&gt;11),1,IF(AND($B$3="Stage 3",OR($B$15="Year 10-11-12 Girls"),$B$5&gt;20),MAX(2,Setup!$B$14),Setup!$B$14)))))</f>
        <v>0</v>
      </c>
      <c r="BT46" s="20" t="b">
        <f>IF(AS46="",FALSE,AND(AS46&lt;&gt;IF(AND($B$3="Stage 3",OR($B$15="Year 8 Boys",$B$15="Year 9 Boys",$B$15="Year 10-11 Boys"),$B$8="One Keeper"),$E$4,""),AS46&lt;&gt;$B46,AS46&lt;&gt;$C45,IFERROR(INDEX($E$18:$E$30,MATCH(AS46,$B$18:$B$30,0)),"No")="Yes",COUNTIF($C$32:$C45,AS46)&lt;$B$6,COUNTIF($C$32:$C45,AS46)&lt;IF($B$3="Stage 1",MIN($B$6,MAX(1,INT($B$5/$B$11))),IF(AND($B$3="Stage 3",$B$5=20,$B$11&gt;11),1,IF(AND($B$3="Stage 3",OR($B$15="Year 10-11-12 Girls"),$B$5&gt;20),MAX(2,Setup!$B$14),Setup!$B$14)))))</f>
        <v>0</v>
      </c>
      <c r="BU46" s="20" t="b">
        <f>IF(AT46="",FALSE,AND(AT46&lt;&gt;IF(AND($B$3="Stage 3",OR($B$15="Year 8 Boys",$B$15="Year 9 Boys",$B$15="Year 10-11 Boys"),$B$8="One Keeper"),$E$4,""),AT46&lt;&gt;$B46,AT46&lt;&gt;$C45,IFERROR(INDEX($E$18:$E$30,MATCH(AT46,$B$18:$B$30,0)),"No")="Yes",COUNTIF($C$32:$C45,AT46)&lt;$B$6,COUNTIF($C$32:$C45,AT46)&lt;IF($B$3="Stage 1",MIN($B$6,MAX(1,INT($B$5/$B$11))),IF(AND($B$3="Stage 3",$B$5=20,$B$11&gt;11),1,IF(AND($B$3="Stage 3",OR($B$15="Year 10-11-12 Girls"),$B$5&gt;20),MAX(2,Setup!$B$14),Setup!$B$14)))))</f>
        <v>0</v>
      </c>
      <c r="BV46" s="20" t="b">
        <f>IF(AU46="",FALSE,AND(AU46&lt;&gt;IF(AND($B$3="Stage 3",OR($B$15="Year 8 Boys",$B$15="Year 9 Boys",$B$15="Year 10-11 Boys"),$B$8="One Keeper"),$E$4,""),AU46&lt;&gt;$B46,AU46&lt;&gt;$C45,IFERROR(INDEX($E$18:$E$30,MATCH(AU46,$B$18:$B$30,0)),"No")="Yes",COUNTIF($C$32:$C45,AU46)&lt;$B$6,COUNTIF($C$32:$C45,AU46)&lt;IF($B$3="Stage 1",MIN($B$6,MAX(1,INT($B$5/$B$11))),IF(AND($B$3="Stage 3",$B$5=20,$B$11&gt;11),1,IF(AND($B$3="Stage 3",OR($B$15="Year 10-11-12 Girls"),$B$5&gt;20),MAX(2,Setup!$B$14),Setup!$B$14)))))</f>
        <v>0</v>
      </c>
      <c r="BW46" s="20"/>
      <c r="BX46" s="20"/>
      <c r="BY46" s="20"/>
      <c r="BZ46" s="20"/>
      <c r="CA46" s="20"/>
      <c r="CB46" s="20"/>
      <c r="CC46" s="20"/>
      <c r="CD46" s="20"/>
      <c r="CE46" s="20"/>
      <c r="CF46" s="20"/>
      <c r="CG46" s="20"/>
      <c r="CH46" s="20"/>
      <c r="CI46" s="20"/>
      <c r="CJ46" s="20"/>
      <c r="CK46" s="20"/>
    </row>
    <row r="47" spans="1:89" ht="26.4" customHeight="1">
      <c r="A47" s="18">
        <v>16</v>
      </c>
      <c r="B47" s="18" t="str">
        <f t="shared" si="5"/>
        <v>Player 2</v>
      </c>
      <c r="C47" s="18" t="str">
        <f t="shared" si="6"/>
        <v>Player 4</v>
      </c>
      <c r="D47" s="18">
        <f t="shared" si="7"/>
        <v>2</v>
      </c>
      <c r="E47" s="18">
        <f>IF($C47="","",COUNTIF($C$32:C47,$C47))</f>
        <v>3</v>
      </c>
      <c r="F47" s="18" t="str">
        <f t="shared" si="8"/>
        <v/>
      </c>
      <c r="H47" s="18" t="s">
        <v>155</v>
      </c>
      <c r="I47" s="18" t="str">
        <f>IF(SUMPRODUCT(--($G$18:$G$30="Yes"),--(COUNTIF($K$18:$K$30,$B$18:$B$30)=0))=0,"OK","Previous DNB player missing")</f>
        <v>OK</v>
      </c>
      <c r="J47" s="18"/>
      <c r="K47" s="18"/>
      <c r="L47" s="18"/>
      <c r="M47" s="18"/>
      <c r="N47" s="18"/>
      <c r="T47" s="20">
        <f t="shared" si="15"/>
        <v>2</v>
      </c>
      <c r="U47" s="20" t="b">
        <f>IF(OR($B$3="Stage 2",AND($B$3="Stage 3",OR($B$15="Year 10-11-12 Girls"))),(IF(AND($P$18&lt;&gt;"",$P$18&lt;&gt;$E$4,COUNTIF($C$32:$C46,$P$18)&gt;=2),1,0)+IF(AND($P$19&lt;&gt;"",$P$19&lt;&gt;$E$4,COUNTIF($C$32:$C46,$P$19)&gt;=2),1,0)+IF(AND($P$20&lt;&gt;"",$P$20&lt;&gt;$E$4,COUNTIF($C$32:$C46,$P$20)&gt;=2),1,0)+IF(AND($P$21&lt;&gt;"",$P$21&lt;&gt;$E$4,COUNTIF($C$32:$C46,$P$21)&gt;=2),1,0)+IF(AND($P$22&lt;&gt;"",$P$22&lt;&gt;$E$4,COUNTIF($C$32:$C46,$P$22)&gt;=2),1,0)+IF(AND($P$23&lt;&gt;"",$P$23&lt;&gt;$E$4,COUNTIF($C$32:$C46,$P$23)&gt;=2),1,0)+IF(AND($P$24&lt;&gt;"",$P$24&lt;&gt;$E$4,COUNTIF($C$32:$C46,$P$24)&gt;=2),1,0)+IF(AND($P$25&lt;&gt;"",$P$25&lt;&gt;$E$4,COUNTIF($C$32:$C46,$P$25)&gt;=2),1,0)+IF(AND($P$26&lt;&gt;"",$P$26&lt;&gt;$E$4,COUNTIF($C$32:$C46,$P$26)&gt;=2),1,0)+IF(AND($P$27&lt;&gt;"",$P$27&lt;&gt;$E$4,COUNTIF($C$32:$C46,$P$27)&gt;=2),1,0)+IF(AND($P$28&lt;&gt;"",$P$28&lt;&gt;$E$4,COUNTIF($C$32:$C46,$P$28)&gt;=2),1,0)+IF(AND($P$29&lt;&gt;"",$P$29&lt;&gt;$E$4,COUNTIF($C$32:$C46,$P$29)&gt;=2),1,0)+IF(AND($P$30&lt;&gt;"",$P$30&lt;&gt;$E$4,COUNTIF($C$32:$C46,$P$30)&gt;=2),1,0))&gt;=MAX(0,$B$11-1),IF(AND($B$3="Stage 3",OR($B$15="Year 8 Boys",$B$15="Year 9 Boys",$B$15="Year 10-11 Boys")),(IF(AND($P$18&lt;&gt;"",COUNTIF($C$32:$C46,$P$18)&gt;=2),1,0)+IF(AND($P$19&lt;&gt;"",COUNTIF($C$32:$C46,$P$19)&gt;=2),1,0)+IF(AND($P$20&lt;&gt;"",COUNTIF($C$32:$C46,$P$20)&gt;=2),1,0)+IF(AND($P$21&lt;&gt;"",COUNTIF($C$32:$C46,$P$21)&gt;=2),1,0)+IF(AND($P$22&lt;&gt;"",COUNTIF($C$32:$C46,$P$22)&gt;=2),1,0)+IF(AND($P$23&lt;&gt;"",COUNTIF($C$32:$C46,$P$23)&gt;=2),1,0)+IF(AND($P$24&lt;&gt;"",COUNTIF($C$32:$C46,$P$24)&gt;=2),1,0)+IF(AND($P$25&lt;&gt;"",COUNTIF($C$32:$C46,$P$25)&gt;=2),1,0)+IF(AND($P$26&lt;&gt;"",COUNTIF($C$32:$C46,$P$26)&gt;=2),1,0)+IF(AND($P$27&lt;&gt;"",COUNTIF($C$32:$C46,$P$27)&gt;=2),1,0)+IF(AND($P$28&lt;&gt;"",COUNTIF($C$32:$C46,$P$28)&gt;=2),1,0)+IF(AND($P$29&lt;&gt;"",COUNTIF($C$32:$C46,$P$29)&gt;=2),1,0)+IF(AND($P$30&lt;&gt;"",COUNTIF($C$32:$C46,$P$30)&gt;=2),1,0))&gt;=7,TRUE))</f>
        <v>1</v>
      </c>
      <c r="V47" s="20">
        <f t="shared" si="30"/>
        <v>2</v>
      </c>
      <c r="W47" s="20">
        <f t="shared" si="30"/>
        <v>3</v>
      </c>
      <c r="X47" s="20">
        <f t="shared" si="30"/>
        <v>4</v>
      </c>
      <c r="Y47" s="20">
        <f t="shared" si="30"/>
        <v>5</v>
      </c>
      <c r="Z47" s="20">
        <f t="shared" si="30"/>
        <v>6</v>
      </c>
      <c r="AA47" s="20">
        <f t="shared" si="30"/>
        <v>7</v>
      </c>
      <c r="AB47" s="20">
        <f t="shared" si="30"/>
        <v>1</v>
      </c>
      <c r="AC47" s="20">
        <f t="shared" si="30"/>
        <v>2</v>
      </c>
      <c r="AD47" s="20">
        <f t="shared" si="30"/>
        <v>3</v>
      </c>
      <c r="AE47" s="20">
        <f t="shared" si="30"/>
        <v>4</v>
      </c>
      <c r="AF47" s="20">
        <f t="shared" si="30"/>
        <v>5</v>
      </c>
      <c r="AG47" s="20">
        <f t="shared" si="30"/>
        <v>6</v>
      </c>
      <c r="AH47" s="20">
        <f t="shared" si="30"/>
        <v>7</v>
      </c>
      <c r="AI47" s="20" t="str">
        <f t="shared" si="17"/>
        <v>Player 4</v>
      </c>
      <c r="AJ47" s="20" t="str">
        <f t="shared" si="18"/>
        <v>Player 5</v>
      </c>
      <c r="AK47" s="20" t="str">
        <f t="shared" si="19"/>
        <v>Player 6</v>
      </c>
      <c r="AL47" s="20" t="str">
        <f t="shared" si="20"/>
        <v>Player 7</v>
      </c>
      <c r="AM47" s="20" t="str">
        <f t="shared" si="21"/>
        <v>Player 1</v>
      </c>
      <c r="AN47" s="20" t="str">
        <f t="shared" si="22"/>
        <v>Player 2</v>
      </c>
      <c r="AO47" s="20" t="str">
        <f t="shared" si="23"/>
        <v>Player 3</v>
      </c>
      <c r="AP47" s="20" t="str">
        <f t="shared" si="24"/>
        <v>Player 4</v>
      </c>
      <c r="AQ47" s="20" t="str">
        <f t="shared" si="25"/>
        <v>Player 5</v>
      </c>
      <c r="AR47" s="20" t="str">
        <f t="shared" si="26"/>
        <v>Player 6</v>
      </c>
      <c r="AS47" s="20" t="str">
        <f t="shared" si="27"/>
        <v>Player 7</v>
      </c>
      <c r="AT47" s="20" t="str">
        <f t="shared" si="28"/>
        <v>Player 1</v>
      </c>
      <c r="AU47" s="20" t="str">
        <f t="shared" si="29"/>
        <v>Player 2</v>
      </c>
      <c r="AV47" s="20" t="b">
        <f>IF(AI47="",FALSE,AND(AI47&lt;&gt;$B47,AI47&lt;&gt;$C46,IFERROR(INDEX($E$18:$E$30,MATCH(AI47,$B$18:$B$30,0)),"No")="Yes",IF(AND(OR($B$3="Stage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Girls"))),$B$5&gt;20),MIN(3,MAX(2,Setup!$B$14)),2))*2),AI47=$E$5,IF(AND(OR($B$3="Stage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Girls"))),$B$5&gt;20),MIN(3,MAX(2,Setup!$B$14)),2))*2-1))),AI47=$E$4,TRUE)),COUNTIF($C$32:$C46,AI47)&lt;$B$6,IF($BI47,COUNTIF($C$32:$C46,AI47)&lt;IF($B$3="Stage 1",MIN($B$6,MAX(1,INT($B$5/$B$11))),IF(AND($B$3="Stage 3",$B$5=20,$B$11&gt;11),1,IF(AND($B$3="Stage 3",OR($B$15="Year 10-11-12 Girls"),$B$5&gt;20),MAX(2,Setup!$B$14),Setup!$B$14))),IF(AND($B$3&lt;&gt;"Stage 2",$B$3&lt;&gt;"Stage 3"),TRUE,IF($U47,TRUE,COUNTIF($C$32:$C46,AI47)&lt;IF(AND($B$3="Stage 2",$B$5=20,AI47=$E$5,$A47&lt;=IF($B$8="One Keeper",$B$5,$B$8)),2,IF(AND(OR($B$3="Stage 2",AND($B$3="Stage 3",OR($B$15="Year 10-11-12 Girls"))),AI47=$E$5,$A47&lt;=IF($B$8="One Keeper",$B$5,$B$8)),3,$B$9)))))))</f>
        <v>1</v>
      </c>
      <c r="AW47" s="20" t="b">
        <f>IF(AJ47="",FALSE,AND(AJ47&lt;&gt;$B47,AJ47&lt;&gt;$C46,IFERROR(INDEX($E$18:$E$30,MATCH(AJ47,$B$18:$B$30,0)),"No")="Yes",IF(AND(OR($B$3="Stage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Girls"))),$B$5&gt;20),MIN(3,MAX(2,Setup!$B$14)),2))*2),AJ47=$E$5,IF(AND(OR($B$3="Stage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Girls"))),$B$5&gt;20),MIN(3,MAX(2,Setup!$B$14)),2))*2-1))),AJ47=$E$4,TRUE)),COUNTIF($C$32:$C46,AJ47)&lt;$B$6,IF($BI47,COUNTIF($C$32:$C46,AJ47)&lt;IF($B$3="Stage 1",MIN($B$6,MAX(1,INT($B$5/$B$11))),IF(AND($B$3="Stage 3",$B$5=20,$B$11&gt;11),1,IF(AND($B$3="Stage 3",OR($B$15="Year 10-11-12 Girls"),$B$5&gt;20),MAX(2,Setup!$B$14),Setup!$B$14))),IF(AND($B$3&lt;&gt;"Stage 2",$B$3&lt;&gt;"Stage 3"),TRUE,IF($U47,TRUE,COUNTIF($C$32:$C46,AJ47)&lt;IF(AND($B$3="Stage 2",$B$5=20,AJ47=$E$5,$A47&lt;=IF($B$8="One Keeper",$B$5,$B$8)),2,IF(AND(OR($B$3="Stage 2",AND($B$3="Stage 3",OR($B$15="Year 10-11-12 Girls"))),AJ47=$E$5,$A47&lt;=IF($B$8="One Keeper",$B$5,$B$8)),3,$B$9)))))))</f>
        <v>1</v>
      </c>
      <c r="AX47" s="20" t="b">
        <f>IF(AK47="",FALSE,AND(AK47&lt;&gt;$B47,AK47&lt;&gt;$C46,IFERROR(INDEX($E$18:$E$30,MATCH(AK47,$B$18:$B$30,0)),"No")="Yes",IF(AND(OR($B$3="Stage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Girls"))),$B$5&gt;20),MIN(3,MAX(2,Setup!$B$14)),2))*2),AK47=$E$5,IF(AND(OR($B$3="Stage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Girls"))),$B$5&gt;20),MIN(3,MAX(2,Setup!$B$14)),2))*2-1))),AK47=$E$4,TRUE)),COUNTIF($C$32:$C46,AK47)&lt;$B$6,IF($BI47,COUNTIF($C$32:$C46,AK47)&lt;IF($B$3="Stage 1",MIN($B$6,MAX(1,INT($B$5/$B$11))),IF(AND($B$3="Stage 3",$B$5=20,$B$11&gt;11),1,IF(AND($B$3="Stage 3",OR($B$15="Year 10-11-12 Girls"),$B$5&gt;20),MAX(2,Setup!$B$14),Setup!$B$14))),IF(AND($B$3&lt;&gt;"Stage 2",$B$3&lt;&gt;"Stage 3"),TRUE,IF($U47,TRUE,COUNTIF($C$32:$C46,AK47)&lt;IF(AND($B$3="Stage 2",$B$5=20,AK47=$E$5,$A47&lt;=IF($B$8="One Keeper",$B$5,$B$8)),2,IF(AND(OR($B$3="Stage 2",AND($B$3="Stage 3",OR($B$15="Year 10-11-12 Girls"))),AK47=$E$5,$A47&lt;=IF($B$8="One Keeper",$B$5,$B$8)),3,$B$9)))))))</f>
        <v>1</v>
      </c>
      <c r="AY47" s="20" t="b">
        <f>IF(AL47="",FALSE,AND(AL47&lt;&gt;$B47,AL47&lt;&gt;$C46,IFERROR(INDEX($E$18:$E$30,MATCH(AL47,$B$18:$B$30,0)),"No")="Yes",IF(AND(OR($B$3="Stage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Girls"))),$B$5&gt;20),MIN(3,MAX(2,Setup!$B$14)),2))*2),AL47=$E$5,IF(AND(OR($B$3="Stage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Girls"))),$B$5&gt;20),MIN(3,MAX(2,Setup!$B$14)),2))*2-1))),AL47=$E$4,TRUE)),COUNTIF($C$32:$C46,AL47)&lt;$B$6,IF($BI47,COUNTIF($C$32:$C46,AL47)&lt;IF($B$3="Stage 1",MIN($B$6,MAX(1,INT($B$5/$B$11))),IF(AND($B$3="Stage 3",$B$5=20,$B$11&gt;11),1,IF(AND($B$3="Stage 3",OR($B$15="Year 10-11-12 Girls"),$B$5&gt;20),MAX(2,Setup!$B$14),Setup!$B$14))),IF(AND($B$3&lt;&gt;"Stage 2",$B$3&lt;&gt;"Stage 3"),TRUE,IF($U47,TRUE,COUNTIF($C$32:$C46,AL47)&lt;IF(AND($B$3="Stage 2",$B$5=20,AL47=$E$5,$A47&lt;=IF($B$8="One Keeper",$B$5,$B$8)),2,IF(AND(OR($B$3="Stage 2",AND($B$3="Stage 3",OR($B$15="Year 10-11-12 Girls"))),AL47=$E$5,$A47&lt;=IF($B$8="One Keeper",$B$5,$B$8)),3,$B$9)))))))</f>
        <v>1</v>
      </c>
      <c r="AZ47" s="20" t="b">
        <f>IF(AM47="",FALSE,AND(AM47&lt;&gt;$B47,AM47&lt;&gt;$C46,IFERROR(INDEX($E$18:$E$30,MATCH(AM47,$B$18:$B$30,0)),"No")="Yes",IF(AND(OR($B$3="Stage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Girls"))),$B$5&gt;20),MIN(3,MAX(2,Setup!$B$14)),2))*2),AM47=$E$5,IF(AND(OR($B$3="Stage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Girls"))),$B$5&gt;20),MIN(3,MAX(2,Setup!$B$14)),2))*2-1))),AM47=$E$4,TRUE)),COUNTIF($C$32:$C46,AM47)&lt;$B$6,IF($BI47,COUNTIF($C$32:$C46,AM47)&lt;IF($B$3="Stage 1",MIN($B$6,MAX(1,INT($B$5/$B$11))),IF(AND($B$3="Stage 3",$B$5=20,$B$11&gt;11),1,IF(AND($B$3="Stage 3",OR($B$15="Year 10-11-12 Girls"),$B$5&gt;20),MAX(2,Setup!$B$14),Setup!$B$14))),IF(AND($B$3&lt;&gt;"Stage 2",$B$3&lt;&gt;"Stage 3"),TRUE,IF($U47,TRUE,COUNTIF($C$32:$C46,AM47)&lt;IF(AND($B$3="Stage 2",$B$5=20,AM47=$E$5,$A47&lt;=IF($B$8="One Keeper",$B$5,$B$8)),2,IF(AND(OR($B$3="Stage 2",AND($B$3="Stage 3",OR($B$15="Year 10-11-12 Girls"))),AM47=$E$5,$A47&lt;=IF($B$8="One Keeper",$B$5,$B$8)),3,$B$9)))))))</f>
        <v>1</v>
      </c>
      <c r="BA47" s="20" t="b">
        <f>IF(AN47="",FALSE,AND(AN47&lt;&gt;$B47,AN47&lt;&gt;$C46,IFERROR(INDEX($E$18:$E$30,MATCH(AN47,$B$18:$B$30,0)),"No")="Yes",IF(AND(OR($B$3="Stage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Girls"))),$B$5&gt;20),MIN(3,MAX(2,Setup!$B$14)),2))*2),AN47=$E$5,IF(AND(OR($B$3="Stage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Girls"))),$B$5&gt;20),MIN(3,MAX(2,Setup!$B$14)),2))*2-1))),AN47=$E$4,TRUE)),COUNTIF($C$32:$C46,AN47)&lt;$B$6,IF($BI47,COUNTIF($C$32:$C46,AN47)&lt;IF($B$3="Stage 1",MIN($B$6,MAX(1,INT($B$5/$B$11))),IF(AND($B$3="Stage 3",$B$5=20,$B$11&gt;11),1,IF(AND($B$3="Stage 3",OR($B$15="Year 10-11-12 Girls"),$B$5&gt;20),MAX(2,Setup!$B$14),Setup!$B$14))),IF(AND($B$3&lt;&gt;"Stage 2",$B$3&lt;&gt;"Stage 3"),TRUE,IF($U47,TRUE,COUNTIF($C$32:$C46,AN47)&lt;IF(AND($B$3="Stage 2",$B$5=20,AN47=$E$5,$A47&lt;=IF($B$8="One Keeper",$B$5,$B$8)),2,IF(AND(OR($B$3="Stage 2",AND($B$3="Stage 3",OR($B$15="Year 10-11-12 Girls"))),AN47=$E$5,$A47&lt;=IF($B$8="One Keeper",$B$5,$B$8)),3,$B$9)))))))</f>
        <v>0</v>
      </c>
      <c r="BB47" s="20" t="b">
        <f>IF(AO47="",FALSE,AND(AO47&lt;&gt;$B47,AO47&lt;&gt;$C46,IFERROR(INDEX($E$18:$E$30,MATCH(AO47,$B$18:$B$30,0)),"No")="Yes",IF(AND(OR($B$3="Stage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Girls"))),$B$5&gt;20),MIN(3,MAX(2,Setup!$B$14)),2))*2),AO47=$E$5,IF(AND(OR($B$3="Stage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Girls"))),$B$5&gt;20),MIN(3,MAX(2,Setup!$B$14)),2))*2-1))),AO47=$E$4,TRUE)),COUNTIF($C$32:$C46,AO47)&lt;$B$6,IF($BI47,COUNTIF($C$32:$C46,AO47)&lt;IF($B$3="Stage 1",MIN($B$6,MAX(1,INT($B$5/$B$11))),IF(AND($B$3="Stage 3",$B$5=20,$B$11&gt;11),1,IF(AND($B$3="Stage 3",OR($B$15="Year 10-11-12 Girls"),$B$5&gt;20),MAX(2,Setup!$B$14),Setup!$B$14))),IF(AND($B$3&lt;&gt;"Stage 2",$B$3&lt;&gt;"Stage 3"),TRUE,IF($U47,TRUE,COUNTIF($C$32:$C46,AO47)&lt;IF(AND($B$3="Stage 2",$B$5=20,AO47=$E$5,$A47&lt;=IF($B$8="One Keeper",$B$5,$B$8)),2,IF(AND(OR($B$3="Stage 2",AND($B$3="Stage 3",OR($B$15="Year 10-11-12 Girls"))),AO47=$E$5,$A47&lt;=IF($B$8="One Keeper",$B$5,$B$8)),3,$B$9)))))))</f>
        <v>0</v>
      </c>
      <c r="BC47" s="20" t="b">
        <f>IF(AP47="",FALSE,AND(AP47&lt;&gt;$B47,AP47&lt;&gt;$C46,IFERROR(INDEX($E$18:$E$30,MATCH(AP47,$B$18:$B$30,0)),"No")="Yes",IF(AND(OR($B$3="Stage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Girls"))),$B$5&gt;20),MIN(3,MAX(2,Setup!$B$14)),2))*2),AP47=$E$5,IF(AND(OR($B$3="Stage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Girls"))),$B$5&gt;20),MIN(3,MAX(2,Setup!$B$14)),2))*2-1))),AP47=$E$4,TRUE)),COUNTIF($C$32:$C46,AP47)&lt;$B$6,IF($BI47,COUNTIF($C$32:$C46,AP47)&lt;IF($B$3="Stage 1",MIN($B$6,MAX(1,INT($B$5/$B$11))),IF(AND($B$3="Stage 3",$B$5=20,$B$11&gt;11),1,IF(AND($B$3="Stage 3",OR($B$15="Year 10-11-12 Girls"),$B$5&gt;20),MAX(2,Setup!$B$14),Setup!$B$14))),IF(AND($B$3&lt;&gt;"Stage 2",$B$3&lt;&gt;"Stage 3"),TRUE,IF($U47,TRUE,COUNTIF($C$32:$C46,AP47)&lt;IF(AND($B$3="Stage 2",$B$5=20,AP47=$E$5,$A47&lt;=IF($B$8="One Keeper",$B$5,$B$8)),2,IF(AND(OR($B$3="Stage 2",AND($B$3="Stage 3",OR($B$15="Year 10-11-12 Girls"))),AP47=$E$5,$A47&lt;=IF($B$8="One Keeper",$B$5,$B$8)),3,$B$9)))))))</f>
        <v>1</v>
      </c>
      <c r="BD47" s="20" t="b">
        <f>IF(AQ47="",FALSE,AND(AQ47&lt;&gt;$B47,AQ47&lt;&gt;$C46,IFERROR(INDEX($E$18:$E$30,MATCH(AQ47,$B$18:$B$30,0)),"No")="Yes",IF(AND(OR($B$3="Stage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Girls"))),$B$5&gt;20),MIN(3,MAX(2,Setup!$B$14)),2))*2),AQ47=$E$5,IF(AND(OR($B$3="Stage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Girls"))),$B$5&gt;20),MIN(3,MAX(2,Setup!$B$14)),2))*2-1))),AQ47=$E$4,TRUE)),COUNTIF($C$32:$C46,AQ47)&lt;$B$6,IF($BI47,COUNTIF($C$32:$C46,AQ47)&lt;IF($B$3="Stage 1",MIN($B$6,MAX(1,INT($B$5/$B$11))),IF(AND($B$3="Stage 3",$B$5=20,$B$11&gt;11),1,IF(AND($B$3="Stage 3",OR($B$15="Year 10-11-12 Girls"),$B$5&gt;20),MAX(2,Setup!$B$14),Setup!$B$14))),IF(AND($B$3&lt;&gt;"Stage 2",$B$3&lt;&gt;"Stage 3"),TRUE,IF($U47,TRUE,COUNTIF($C$32:$C46,AQ47)&lt;IF(AND($B$3="Stage 2",$B$5=20,AQ47=$E$5,$A47&lt;=IF($B$8="One Keeper",$B$5,$B$8)),2,IF(AND(OR($B$3="Stage 2",AND($B$3="Stage 3",OR($B$15="Year 10-11-12 Girls"))),AQ47=$E$5,$A47&lt;=IF($B$8="One Keeper",$B$5,$B$8)),3,$B$9)))))))</f>
        <v>1</v>
      </c>
      <c r="BE47" s="20" t="b">
        <f>IF(AR47="",FALSE,AND(AR47&lt;&gt;$B47,AR47&lt;&gt;$C46,IFERROR(INDEX($E$18:$E$30,MATCH(AR47,$B$18:$B$30,0)),"No")="Yes",IF(AND(OR($B$3="Stage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Girls"))),$B$5&gt;20),MIN(3,MAX(2,Setup!$B$14)),2))*2),AR47=$E$5,IF(AND(OR($B$3="Stage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Girls"))),$B$5&gt;20),MIN(3,MAX(2,Setup!$B$14)),2))*2-1))),AR47=$E$4,TRUE)),COUNTIF($C$32:$C46,AR47)&lt;$B$6,IF($BI47,COUNTIF($C$32:$C46,AR47)&lt;IF($B$3="Stage 1",MIN($B$6,MAX(1,INT($B$5/$B$11))),IF(AND($B$3="Stage 3",$B$5=20,$B$11&gt;11),1,IF(AND($B$3="Stage 3",OR($B$15="Year 10-11-12 Girls"),$B$5&gt;20),MAX(2,Setup!$B$14),Setup!$B$14))),IF(AND($B$3&lt;&gt;"Stage 2",$B$3&lt;&gt;"Stage 3"),TRUE,IF($U47,TRUE,COUNTIF($C$32:$C46,AR47)&lt;IF(AND($B$3="Stage 2",$B$5=20,AR47=$E$5,$A47&lt;=IF($B$8="One Keeper",$B$5,$B$8)),2,IF(AND(OR($B$3="Stage 2",AND($B$3="Stage 3",OR($B$15="Year 10-11-12 Girls"))),AR47=$E$5,$A47&lt;=IF($B$8="One Keeper",$B$5,$B$8)),3,$B$9)))))))</f>
        <v>1</v>
      </c>
      <c r="BF47" s="20" t="b">
        <f>IF(AS47="",FALSE,AND(AS47&lt;&gt;$B47,AS47&lt;&gt;$C46,IFERROR(INDEX($E$18:$E$30,MATCH(AS47,$B$18:$B$30,0)),"No")="Yes",IF(AND(OR($B$3="Stage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Girls"))),$B$5&gt;20),MIN(3,MAX(2,Setup!$B$14)),2))*2),AS47=$E$5,IF(AND(OR($B$3="Stage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Girls"))),$B$5&gt;20),MIN(3,MAX(2,Setup!$B$14)),2))*2-1))),AS47=$E$4,TRUE)),COUNTIF($C$32:$C46,AS47)&lt;$B$6,IF($BI47,COUNTIF($C$32:$C46,AS47)&lt;IF($B$3="Stage 1",MIN($B$6,MAX(1,INT($B$5/$B$11))),IF(AND($B$3="Stage 3",$B$5=20,$B$11&gt;11),1,IF(AND($B$3="Stage 3",OR($B$15="Year 10-11-12 Girls"),$B$5&gt;20),MAX(2,Setup!$B$14),Setup!$B$14))),IF(AND($B$3&lt;&gt;"Stage 2",$B$3&lt;&gt;"Stage 3"),TRUE,IF($U47,TRUE,COUNTIF($C$32:$C46,AS47)&lt;IF(AND($B$3="Stage 2",$B$5=20,AS47=$E$5,$A47&lt;=IF($B$8="One Keeper",$B$5,$B$8)),2,IF(AND(OR($B$3="Stage 2",AND($B$3="Stage 3",OR($B$15="Year 10-11-12 Girls"))),AS47=$E$5,$A47&lt;=IF($B$8="One Keeper",$B$5,$B$8)),3,$B$9)))))))</f>
        <v>1</v>
      </c>
      <c r="BG47" s="20" t="b">
        <f>IF(AT47="",FALSE,AND(AT47&lt;&gt;$B47,AT47&lt;&gt;$C46,IFERROR(INDEX($E$18:$E$30,MATCH(AT47,$B$18:$B$30,0)),"No")="Yes",IF(AND(OR($B$3="Stage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Girls"))),$B$5&gt;20),MIN(3,MAX(2,Setup!$B$14)),2))*2),AT47=$E$5,IF(AND(OR($B$3="Stage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Girls"))),$B$5&gt;20),MIN(3,MAX(2,Setup!$B$14)),2))*2-1))),AT47=$E$4,TRUE)),COUNTIF($C$32:$C46,AT47)&lt;$B$6,IF($BI47,COUNTIF($C$32:$C46,AT47)&lt;IF($B$3="Stage 1",MIN($B$6,MAX(1,INT($B$5/$B$11))),IF(AND($B$3="Stage 3",$B$5=20,$B$11&gt;11),1,IF(AND($B$3="Stage 3",OR($B$15="Year 10-11-12 Girls"),$B$5&gt;20),MAX(2,Setup!$B$14),Setup!$B$14))),IF(AND($B$3&lt;&gt;"Stage 2",$B$3&lt;&gt;"Stage 3"),TRUE,IF($U47,TRUE,COUNTIF($C$32:$C46,AT47)&lt;IF(AND($B$3="Stage 2",$B$5=20,AT47=$E$5,$A47&lt;=IF($B$8="One Keeper",$B$5,$B$8)),2,IF(AND(OR($B$3="Stage 2",AND($B$3="Stage 3",OR($B$15="Year 10-11-12 Girls"))),AT47=$E$5,$A47&lt;=IF($B$8="One Keeper",$B$5,$B$8)),3,$B$9)))))))</f>
        <v>1</v>
      </c>
      <c r="BH47" s="20" t="b">
        <f>IF(AU47="",FALSE,AND(AU47&lt;&gt;$B47,AU47&lt;&gt;$C46,IFERROR(INDEX($E$18:$E$30,MATCH(AU47,$B$18:$B$30,0)),"No")="Yes",IF(AND(OR($B$3="Stage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Girls"))),$B$5&gt;20),MIN(3,MAX(2,Setup!$B$14)),2))*2),AU47=$E$5,IF(AND(OR($B$3="Stage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Girls"))),$B$5&gt;20),MIN(3,MAX(2,Setup!$B$14)),2))*2-1))),AU47=$E$4,TRUE)),COUNTIF($C$32:$C46,AU47)&lt;$B$6,IF($BI47,COUNTIF($C$32:$C46,AU47)&lt;IF($B$3="Stage 1",MIN($B$6,MAX(1,INT($B$5/$B$11))),IF(AND($B$3="Stage 3",$B$5=20,$B$11&gt;11),1,IF(AND($B$3="Stage 3",OR($B$15="Year 10-11-12 Girls"),$B$5&gt;20),MAX(2,Setup!$B$14),Setup!$B$14))),IF(AND($B$3&lt;&gt;"Stage 2",$B$3&lt;&gt;"Stage 3"),TRUE,IF($U47,TRUE,COUNTIF($C$32:$C46,AU47)&lt;IF(AND($B$3="Stage 2",$B$5=20,AU47=$E$5,$A47&lt;=IF($B$8="One Keeper",$B$5,$B$8)),2,IF(AND(OR($B$3="Stage 2",AND($B$3="Stage 3",OR($B$15="Year 10-11-12 Girls"))),AU47=$E$5,$A47&lt;=IF($B$8="One Keeper",$B$5,$B$8)),3,$B$9)))))))</f>
        <v>0</v>
      </c>
      <c r="BI47"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Keeper",$E$4&lt;&gt;$E$5,$A47&lt;=IF($B$8="One Keeper",$B$5,$B$8),COUNTIF($C$32:$C46,$E$5)&lt;IF(AND($B$3="Stage 3",$B$5=20,$B$11&gt;11),1,IF(AND(OR($B$3="Stage 2",AND($B$3="Stage 3",OR($B$15="Year 10-11-12 Girls"))),$B$5&gt;20),MIN(3,MAX(2,Setup!$B$14)),2)),IFERROR(INDEX($E$18:$E$30,MATCH($E$5,$B$18:$B$30,0)),"No")="Yes",$C46&lt;&gt;$E$5,MOD($A47,2)=0,$A47&lt;=IF(AND($B$3="Stage 3",$B$5=20,$B$11&gt;11),1,IF(AND(OR($B$3="Stage 2",AND($B$3="Stage 3",OR($B$15="Year 10-11-12 Girls"))),$B$5&gt;20),MIN(3,MAX(2,Setup!$B$14)),2))*2),AND(OR($B$3="Stage 1",$B$3="Stage 2",AND($B$3="Stage 3",OR(OR($B$15="Year 10-11-12 Girls"),OR($B$15="Year 8 Boys",$B$15="Year 9 Boys",$B$15="Year 10-11 Boys")))),$B$8&lt;&gt;"One Keeper",$E$4&lt;&gt;$E$5,$A47&gt;IF($B$8="One Keeper",$B$5,$B$8),COUNTIF($C$32:$C46,$E$4)&lt;IF(AND($B$3="Stage 3",$B$5=20,$B$11&gt;11),1,IF(AND(OR($B$3="Stage 2",AND($B$3="Stage 3",OR($B$15="Year 10-11-12 Girls"))),$B$5&gt;20),MIN(3,MAX(2,Setup!$B$14)),2)),IFERROR(INDEX($E$18:$E$30,MATCH($E$4,$B$18:$B$30,0)),"No")="Yes",$C46&lt;&gt;$E$4,IF($B$7="Three-over spell",AND(MOD($A47-IF($B$8="One Keeper",$B$5,$B$8)-1,3)=0,($A47-IF($B$8="One Keeper",$B$5,$B$8))&lt;=1+(IF(AND($B$3="Stage 3",$B$5=20,$B$11&gt;11),1,IF(AND(OR($B$3="Stage 2",AND($B$3="Stage 3",OR($B$15="Year 10-11-12 Girls"))),$B$5&gt;20),MIN(3,MAX(2,Setup!$B$14)),2))-1)*3),AND(MOD($A47-IF($B$8="One Keeper",$B$5,$B$8),2)=1,($A47-IF($B$8="One Keeper",$B$5,$B$8))&lt;=IF(AND($B$3="Stage 3",$B$5=20,$B$11&gt;11),1,IF(AND(OR($B$3="Stage 2",AND($B$3="Stage 3",OR($B$15="Year 10-11-12 Girls"))),$B$5&gt;20),MIN(3,MAX(2,Setup!$B$14)),2))*2-1))))),OR($U47,AND($B$3="Stage 3",$B$5=20,$B$11&gt;11)),OR($BJ47,$BK47,$BL47,$BM47,$BN47,$BO47,$BP47,$BQ47,$BR47,$BS47,$BT47,$BU47,$BV47))</f>
        <v>0</v>
      </c>
      <c r="BJ47" s="20" t="b">
        <f>IF(AI47="",FALSE,AND(AI47&lt;&gt;IF(AND($B$3="Stage 3",OR($B$15="Year 8 Boys",$B$15="Year 9 Boys",$B$15="Year 10-11 Boys"),$B$8="One Keeper"),$E$4,""),AI47&lt;&gt;$B47,AI47&lt;&gt;$C46,IFERROR(INDEX($E$18:$E$30,MATCH(AI47,$B$18:$B$30,0)),"No")="Yes",COUNTIF($C$32:$C46,AI47)&lt;$B$6,COUNTIF($C$32:$C46,AI47)&lt;IF($B$3="Stage 1",MIN($B$6,MAX(1,INT($B$5/$B$11))),IF(AND($B$3="Stage 3",$B$5=20,$B$11&gt;11),1,IF(AND($B$3="Stage 3",OR($B$15="Year 10-11-12 Girls"),$B$5&gt;20),MAX(2,Setup!$B$14),Setup!$B$14)))))</f>
        <v>0</v>
      </c>
      <c r="BK47" s="20" t="b">
        <f>IF(AJ47="",FALSE,AND(AJ47&lt;&gt;IF(AND($B$3="Stage 3",OR($B$15="Year 8 Boys",$B$15="Year 9 Boys",$B$15="Year 10-11 Boys"),$B$8="One Keeper"),$E$4,""),AJ47&lt;&gt;$B47,AJ47&lt;&gt;$C46,IFERROR(INDEX($E$18:$E$30,MATCH(AJ47,$B$18:$B$30,0)),"No")="Yes",COUNTIF($C$32:$C46,AJ47)&lt;$B$6,COUNTIF($C$32:$C46,AJ47)&lt;IF($B$3="Stage 1",MIN($B$6,MAX(1,INT($B$5/$B$11))),IF(AND($B$3="Stage 3",$B$5=20,$B$11&gt;11),1,IF(AND($B$3="Stage 3",OR($B$15="Year 10-11-12 Girls"),$B$5&gt;20),MAX(2,Setup!$B$14),Setup!$B$14)))))</f>
        <v>0</v>
      </c>
      <c r="BL47" s="20" t="b">
        <f>IF(AK47="",FALSE,AND(AK47&lt;&gt;IF(AND($B$3="Stage 3",OR($B$15="Year 8 Boys",$B$15="Year 9 Boys",$B$15="Year 10-11 Boys"),$B$8="One Keeper"),$E$4,""),AK47&lt;&gt;$B47,AK47&lt;&gt;$C46,IFERROR(INDEX($E$18:$E$30,MATCH(AK47,$B$18:$B$30,0)),"No")="Yes",COUNTIF($C$32:$C46,AK47)&lt;$B$6,COUNTIF($C$32:$C46,AK47)&lt;IF($B$3="Stage 1",MIN($B$6,MAX(1,INT($B$5/$B$11))),IF(AND($B$3="Stage 3",$B$5=20,$B$11&gt;11),1,IF(AND($B$3="Stage 3",OR($B$15="Year 10-11-12 Girls"),$B$5&gt;20),MAX(2,Setup!$B$14),Setup!$B$14)))))</f>
        <v>0</v>
      </c>
      <c r="BM47" s="20" t="b">
        <f>IF(AL47="",FALSE,AND(AL47&lt;&gt;IF(AND($B$3="Stage 3",OR($B$15="Year 8 Boys",$B$15="Year 9 Boys",$B$15="Year 10-11 Boys"),$B$8="One Keeper"),$E$4,""),AL47&lt;&gt;$B47,AL47&lt;&gt;$C46,IFERROR(INDEX($E$18:$E$30,MATCH(AL47,$B$18:$B$30,0)),"No")="Yes",COUNTIF($C$32:$C46,AL47)&lt;$B$6,COUNTIF($C$32:$C46,AL47)&lt;IF($B$3="Stage 1",MIN($B$6,MAX(1,INT($B$5/$B$11))),IF(AND($B$3="Stage 3",$B$5=20,$B$11&gt;11),1,IF(AND($B$3="Stage 3",OR($B$15="Year 10-11-12 Girls"),$B$5&gt;20),MAX(2,Setup!$B$14),Setup!$B$14)))))</f>
        <v>0</v>
      </c>
      <c r="BN47" s="20" t="b">
        <f>IF(AM47="",FALSE,AND(AM47&lt;&gt;IF(AND($B$3="Stage 3",OR($B$15="Year 8 Boys",$B$15="Year 9 Boys",$B$15="Year 10-11 Boys"),$B$8="One Keeper"),$E$4,""),AM47&lt;&gt;$B47,AM47&lt;&gt;$C46,IFERROR(INDEX($E$18:$E$30,MATCH(AM47,$B$18:$B$30,0)),"No")="Yes",COUNTIF($C$32:$C46,AM47)&lt;$B$6,COUNTIF($C$32:$C46,AM47)&lt;IF($B$3="Stage 1",MIN($B$6,MAX(1,INT($B$5/$B$11))),IF(AND($B$3="Stage 3",$B$5=20,$B$11&gt;11),1,IF(AND($B$3="Stage 3",OR($B$15="Year 10-11-12 Girls"),$B$5&gt;20),MAX(2,Setup!$B$14),Setup!$B$14)))))</f>
        <v>0</v>
      </c>
      <c r="BO47" s="20" t="b">
        <f>IF(AN47="",FALSE,AND(AN47&lt;&gt;IF(AND($B$3="Stage 3",OR($B$15="Year 8 Boys",$B$15="Year 9 Boys",$B$15="Year 10-11 Boys"),$B$8="One Keeper"),$E$4,""),AN47&lt;&gt;$B47,AN47&lt;&gt;$C46,IFERROR(INDEX($E$18:$E$30,MATCH(AN47,$B$18:$B$30,0)),"No")="Yes",COUNTIF($C$32:$C46,AN47)&lt;$B$6,COUNTIF($C$32:$C46,AN47)&lt;IF($B$3="Stage 1",MIN($B$6,MAX(1,INT($B$5/$B$11))),IF(AND($B$3="Stage 3",$B$5=20,$B$11&gt;11),1,IF(AND($B$3="Stage 3",OR($B$15="Year 10-11-12 Girls"),$B$5&gt;20),MAX(2,Setup!$B$14),Setup!$B$14)))))</f>
        <v>0</v>
      </c>
      <c r="BP47" s="20" t="b">
        <f>IF(AO47="",FALSE,AND(AO47&lt;&gt;IF(AND($B$3="Stage 3",OR($B$15="Year 8 Boys",$B$15="Year 9 Boys",$B$15="Year 10-11 Boys"),$B$8="One Keeper"),$E$4,""),AO47&lt;&gt;$B47,AO47&lt;&gt;$C46,IFERROR(INDEX($E$18:$E$30,MATCH(AO47,$B$18:$B$30,0)),"No")="Yes",COUNTIF($C$32:$C46,AO47)&lt;$B$6,COUNTIF($C$32:$C46,AO47)&lt;IF($B$3="Stage 1",MIN($B$6,MAX(1,INT($B$5/$B$11))),IF(AND($B$3="Stage 3",$B$5=20,$B$11&gt;11),1,IF(AND($B$3="Stage 3",OR($B$15="Year 10-11-12 Girls"),$B$5&gt;20),MAX(2,Setup!$B$14),Setup!$B$14)))))</f>
        <v>0</v>
      </c>
      <c r="BQ47" s="20" t="b">
        <f>IF(AP47="",FALSE,AND(AP47&lt;&gt;IF(AND($B$3="Stage 3",OR($B$15="Year 8 Boys",$B$15="Year 9 Boys",$B$15="Year 10-11 Boys"),$B$8="One Keeper"),$E$4,""),AP47&lt;&gt;$B47,AP47&lt;&gt;$C46,IFERROR(INDEX($E$18:$E$30,MATCH(AP47,$B$18:$B$30,0)),"No")="Yes",COUNTIF($C$32:$C46,AP47)&lt;$B$6,COUNTIF($C$32:$C46,AP47)&lt;IF($B$3="Stage 1",MIN($B$6,MAX(1,INT($B$5/$B$11))),IF(AND($B$3="Stage 3",$B$5=20,$B$11&gt;11),1,IF(AND($B$3="Stage 3",OR($B$15="Year 10-11-12 Girls"),$B$5&gt;20),MAX(2,Setup!$B$14),Setup!$B$14)))))</f>
        <v>0</v>
      </c>
      <c r="BR47" s="20" t="b">
        <f>IF(AQ47="",FALSE,AND(AQ47&lt;&gt;IF(AND($B$3="Stage 3",OR($B$15="Year 8 Boys",$B$15="Year 9 Boys",$B$15="Year 10-11 Boys"),$B$8="One Keeper"),$E$4,""),AQ47&lt;&gt;$B47,AQ47&lt;&gt;$C46,IFERROR(INDEX($E$18:$E$30,MATCH(AQ47,$B$18:$B$30,0)),"No")="Yes",COUNTIF($C$32:$C46,AQ47)&lt;$B$6,COUNTIF($C$32:$C46,AQ47)&lt;IF($B$3="Stage 1",MIN($B$6,MAX(1,INT($B$5/$B$11))),IF(AND($B$3="Stage 3",$B$5=20,$B$11&gt;11),1,IF(AND($B$3="Stage 3",OR($B$15="Year 10-11-12 Girls"),$B$5&gt;20),MAX(2,Setup!$B$14),Setup!$B$14)))))</f>
        <v>0</v>
      </c>
      <c r="BS47" s="20" t="b">
        <f>IF(AR47="",FALSE,AND(AR47&lt;&gt;IF(AND($B$3="Stage 3",OR($B$15="Year 8 Boys",$B$15="Year 9 Boys",$B$15="Year 10-11 Boys"),$B$8="One Keeper"),$E$4,""),AR47&lt;&gt;$B47,AR47&lt;&gt;$C46,IFERROR(INDEX($E$18:$E$30,MATCH(AR47,$B$18:$B$30,0)),"No")="Yes",COUNTIF($C$32:$C46,AR47)&lt;$B$6,COUNTIF($C$32:$C46,AR47)&lt;IF($B$3="Stage 1",MIN($B$6,MAX(1,INT($B$5/$B$11))),IF(AND($B$3="Stage 3",$B$5=20,$B$11&gt;11),1,IF(AND($B$3="Stage 3",OR($B$15="Year 10-11-12 Girls"),$B$5&gt;20),MAX(2,Setup!$B$14),Setup!$B$14)))))</f>
        <v>0</v>
      </c>
      <c r="BT47" s="20" t="b">
        <f>IF(AS47="",FALSE,AND(AS47&lt;&gt;IF(AND($B$3="Stage 3",OR($B$15="Year 8 Boys",$B$15="Year 9 Boys",$B$15="Year 10-11 Boys"),$B$8="One Keeper"),$E$4,""),AS47&lt;&gt;$B47,AS47&lt;&gt;$C46,IFERROR(INDEX($E$18:$E$30,MATCH(AS47,$B$18:$B$30,0)),"No")="Yes",COUNTIF($C$32:$C46,AS47)&lt;$B$6,COUNTIF($C$32:$C46,AS47)&lt;IF($B$3="Stage 1",MIN($B$6,MAX(1,INT($B$5/$B$11))),IF(AND($B$3="Stage 3",$B$5=20,$B$11&gt;11),1,IF(AND($B$3="Stage 3",OR($B$15="Year 10-11-12 Girls"),$B$5&gt;20),MAX(2,Setup!$B$14),Setup!$B$14)))))</f>
        <v>0</v>
      </c>
      <c r="BU47" s="20" t="b">
        <f>IF(AT47="",FALSE,AND(AT47&lt;&gt;IF(AND($B$3="Stage 3",OR($B$15="Year 8 Boys",$B$15="Year 9 Boys",$B$15="Year 10-11 Boys"),$B$8="One Keeper"),$E$4,""),AT47&lt;&gt;$B47,AT47&lt;&gt;$C46,IFERROR(INDEX($E$18:$E$30,MATCH(AT47,$B$18:$B$30,0)),"No")="Yes",COUNTIF($C$32:$C46,AT47)&lt;$B$6,COUNTIF($C$32:$C46,AT47)&lt;IF($B$3="Stage 1",MIN($B$6,MAX(1,INT($B$5/$B$11))),IF(AND($B$3="Stage 3",$B$5=20,$B$11&gt;11),1,IF(AND($B$3="Stage 3",OR($B$15="Year 10-11-12 Girls"),$B$5&gt;20),MAX(2,Setup!$B$14),Setup!$B$14)))))</f>
        <v>0</v>
      </c>
      <c r="BV47" s="20" t="b">
        <f>IF(AU47="",FALSE,AND(AU47&lt;&gt;IF(AND($B$3="Stage 3",OR($B$15="Year 8 Boys",$B$15="Year 9 Boys",$B$15="Year 10-11 Boys"),$B$8="One Keeper"),$E$4,""),AU47&lt;&gt;$B47,AU47&lt;&gt;$C46,IFERROR(INDEX($E$18:$E$30,MATCH(AU47,$B$18:$B$30,0)),"No")="Yes",COUNTIF($C$32:$C46,AU47)&lt;$B$6,COUNTIF($C$32:$C46,AU47)&lt;IF($B$3="Stage 1",MIN($B$6,MAX(1,INT($B$5/$B$11))),IF(AND($B$3="Stage 3",$B$5=20,$B$11&gt;11),1,IF(AND($B$3="Stage 3",OR($B$15="Year 10-11-12 Girls"),$B$5&gt;20),MAX(2,Setup!$B$14),Setup!$B$14)))))</f>
        <v>0</v>
      </c>
      <c r="BW47" s="20"/>
      <c r="BX47" s="20"/>
      <c r="BY47" s="20"/>
      <c r="BZ47" s="20"/>
      <c r="CA47" s="20"/>
      <c r="CB47" s="20"/>
      <c r="CC47" s="20"/>
      <c r="CD47" s="20"/>
      <c r="CE47" s="20"/>
      <c r="CF47" s="20"/>
      <c r="CG47" s="20"/>
      <c r="CH47" s="20"/>
      <c r="CI47" s="20"/>
      <c r="CJ47" s="20"/>
      <c r="CK47" s="20"/>
    </row>
    <row r="48" spans="1:89" ht="39.6" customHeight="1">
      <c r="A48" s="18">
        <v>17</v>
      </c>
      <c r="B48" s="18" t="str">
        <f t="shared" si="5"/>
        <v>Player 2</v>
      </c>
      <c r="C48" s="18" t="str">
        <f t="shared" si="6"/>
        <v>Player 5</v>
      </c>
      <c r="D48" s="18">
        <f t="shared" si="7"/>
        <v>3</v>
      </c>
      <c r="E48" s="18">
        <f>IF($C48="","",COUNTIF($C$32:C48,$C48))</f>
        <v>3</v>
      </c>
      <c r="F48" s="18" t="str">
        <f t="shared" si="8"/>
        <v/>
      </c>
      <c r="H48" s="18" t="s">
        <v>156</v>
      </c>
      <c r="I48" s="18" t="str">
        <f>IF(SUMPRODUCT(--($H$18:$H$30="Yes"),--(COUNTIF($C$32:$C$71,$B$18:$B$30)=0),--($B$18:$B$30&lt;&gt;IF(AND($B$3="Stage 3",OR($B$15="Year 8 Boys",$B$15="Year 9 Boys",$B$15="Year 10-11 Boys"),$E$4=$E$5),$E$4,"")))=0,"OK","Previous DNBowl player missing")</f>
        <v>OK</v>
      </c>
      <c r="J48" s="18"/>
      <c r="K48" s="18"/>
      <c r="L48" s="18"/>
      <c r="M48" s="18"/>
      <c r="N48" s="18"/>
      <c r="T48" s="20">
        <f t="shared" si="15"/>
        <v>3</v>
      </c>
      <c r="U48" s="20" t="b">
        <f>IF(OR($B$3="Stage 2",AND($B$3="Stage 3",OR($B$15="Year 10-11-12 Girls"))),(IF(AND($P$18&lt;&gt;"",$P$18&lt;&gt;$E$4,COUNTIF($C$32:$C47,$P$18)&gt;=2),1,0)+IF(AND($P$19&lt;&gt;"",$P$19&lt;&gt;$E$4,COUNTIF($C$32:$C47,$P$19)&gt;=2),1,0)+IF(AND($P$20&lt;&gt;"",$P$20&lt;&gt;$E$4,COUNTIF($C$32:$C47,$P$20)&gt;=2),1,0)+IF(AND($P$21&lt;&gt;"",$P$21&lt;&gt;$E$4,COUNTIF($C$32:$C47,$P$21)&gt;=2),1,0)+IF(AND($P$22&lt;&gt;"",$P$22&lt;&gt;$E$4,COUNTIF($C$32:$C47,$P$22)&gt;=2),1,0)+IF(AND($P$23&lt;&gt;"",$P$23&lt;&gt;$E$4,COUNTIF($C$32:$C47,$P$23)&gt;=2),1,0)+IF(AND($P$24&lt;&gt;"",$P$24&lt;&gt;$E$4,COUNTIF($C$32:$C47,$P$24)&gt;=2),1,0)+IF(AND($P$25&lt;&gt;"",$P$25&lt;&gt;$E$4,COUNTIF($C$32:$C47,$P$25)&gt;=2),1,0)+IF(AND($P$26&lt;&gt;"",$P$26&lt;&gt;$E$4,COUNTIF($C$32:$C47,$P$26)&gt;=2),1,0)+IF(AND($P$27&lt;&gt;"",$P$27&lt;&gt;$E$4,COUNTIF($C$32:$C47,$P$27)&gt;=2),1,0)+IF(AND($P$28&lt;&gt;"",$P$28&lt;&gt;$E$4,COUNTIF($C$32:$C47,$P$28)&gt;=2),1,0)+IF(AND($P$29&lt;&gt;"",$P$29&lt;&gt;$E$4,COUNTIF($C$32:$C47,$P$29)&gt;=2),1,0)+IF(AND($P$30&lt;&gt;"",$P$30&lt;&gt;$E$4,COUNTIF($C$32:$C47,$P$30)&gt;=2),1,0))&gt;=MAX(0,$B$11-1),IF(AND($B$3="Stage 3",OR($B$15="Year 8 Boys",$B$15="Year 9 Boys",$B$15="Year 10-11 Boys")),(IF(AND($P$18&lt;&gt;"",COUNTIF($C$32:$C47,$P$18)&gt;=2),1,0)+IF(AND($P$19&lt;&gt;"",COUNTIF($C$32:$C47,$P$19)&gt;=2),1,0)+IF(AND($P$20&lt;&gt;"",COUNTIF($C$32:$C47,$P$20)&gt;=2),1,0)+IF(AND($P$21&lt;&gt;"",COUNTIF($C$32:$C47,$P$21)&gt;=2),1,0)+IF(AND($P$22&lt;&gt;"",COUNTIF($C$32:$C47,$P$22)&gt;=2),1,0)+IF(AND($P$23&lt;&gt;"",COUNTIF($C$32:$C47,$P$23)&gt;=2),1,0)+IF(AND($P$24&lt;&gt;"",COUNTIF($C$32:$C47,$P$24)&gt;=2),1,0)+IF(AND($P$25&lt;&gt;"",COUNTIF($C$32:$C47,$P$25)&gt;=2),1,0)+IF(AND($P$26&lt;&gt;"",COUNTIF($C$32:$C47,$P$26)&gt;=2),1,0)+IF(AND($P$27&lt;&gt;"",COUNTIF($C$32:$C47,$P$27)&gt;=2),1,0)+IF(AND($P$28&lt;&gt;"",COUNTIF($C$32:$C47,$P$28)&gt;=2),1,0)+IF(AND($P$29&lt;&gt;"",COUNTIF($C$32:$C47,$P$29)&gt;=2),1,0)+IF(AND($P$30&lt;&gt;"",COUNTIF($C$32:$C47,$P$30)&gt;=2),1,0))&gt;=7,TRUE))</f>
        <v>1</v>
      </c>
      <c r="V48" s="20">
        <f t="shared" si="30"/>
        <v>3</v>
      </c>
      <c r="W48" s="20">
        <f t="shared" si="30"/>
        <v>4</v>
      </c>
      <c r="X48" s="20">
        <f t="shared" si="30"/>
        <v>5</v>
      </c>
      <c r="Y48" s="20">
        <f t="shared" si="30"/>
        <v>6</v>
      </c>
      <c r="Z48" s="20">
        <f t="shared" si="30"/>
        <v>7</v>
      </c>
      <c r="AA48" s="20">
        <f t="shared" si="30"/>
        <v>1</v>
      </c>
      <c r="AB48" s="20">
        <f t="shared" si="30"/>
        <v>2</v>
      </c>
      <c r="AC48" s="20">
        <f t="shared" si="30"/>
        <v>3</v>
      </c>
      <c r="AD48" s="20">
        <f t="shared" si="30"/>
        <v>4</v>
      </c>
      <c r="AE48" s="20">
        <f t="shared" si="30"/>
        <v>5</v>
      </c>
      <c r="AF48" s="20">
        <f t="shared" si="30"/>
        <v>6</v>
      </c>
      <c r="AG48" s="20">
        <f t="shared" si="30"/>
        <v>7</v>
      </c>
      <c r="AH48" s="20">
        <f t="shared" si="30"/>
        <v>1</v>
      </c>
      <c r="AI48" s="20" t="str">
        <f t="shared" si="17"/>
        <v>Player 5</v>
      </c>
      <c r="AJ48" s="20" t="str">
        <f t="shared" si="18"/>
        <v>Player 6</v>
      </c>
      <c r="AK48" s="20" t="str">
        <f t="shared" si="19"/>
        <v>Player 7</v>
      </c>
      <c r="AL48" s="20" t="str">
        <f t="shared" si="20"/>
        <v>Player 1</v>
      </c>
      <c r="AM48" s="20" t="str">
        <f t="shared" si="21"/>
        <v>Player 2</v>
      </c>
      <c r="AN48" s="20" t="str">
        <f t="shared" si="22"/>
        <v>Player 3</v>
      </c>
      <c r="AO48" s="20" t="str">
        <f t="shared" si="23"/>
        <v>Player 4</v>
      </c>
      <c r="AP48" s="20" t="str">
        <f t="shared" si="24"/>
        <v>Player 5</v>
      </c>
      <c r="AQ48" s="20" t="str">
        <f t="shared" si="25"/>
        <v>Player 6</v>
      </c>
      <c r="AR48" s="20" t="str">
        <f t="shared" si="26"/>
        <v>Player 7</v>
      </c>
      <c r="AS48" s="20" t="str">
        <f t="shared" si="27"/>
        <v>Player 1</v>
      </c>
      <c r="AT48" s="20" t="str">
        <f t="shared" si="28"/>
        <v>Player 2</v>
      </c>
      <c r="AU48" s="20" t="str">
        <f t="shared" si="29"/>
        <v>Player 3</v>
      </c>
      <c r="AV48" s="20" t="b">
        <f>IF(AI48="",FALSE,AND(AI48&lt;&gt;$B48,AI48&lt;&gt;$C47,IFERROR(INDEX($E$18:$E$30,MATCH(AI48,$B$18:$B$30,0)),"No")="Yes",IF(AND(OR($B$3="Stage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Girls"))),$B$5&gt;20),MIN(3,MAX(2,Setup!$B$14)),2))*2),AI48=$E$5,IF(AND(OR($B$3="Stage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Girls"))),$B$5&gt;20),MIN(3,MAX(2,Setup!$B$14)),2))*2-1))),AI48=$E$4,TRUE)),COUNTIF($C$32:$C47,AI48)&lt;$B$6,IF($BI48,COUNTIF($C$32:$C47,AI48)&lt;IF($B$3="Stage 1",MIN($B$6,MAX(1,INT($B$5/$B$11))),IF(AND($B$3="Stage 3",$B$5=20,$B$11&gt;11),1,IF(AND($B$3="Stage 3",OR($B$15="Year 10-11-12 Girls"),$B$5&gt;20),MAX(2,Setup!$B$14),Setup!$B$14))),IF(AND($B$3&lt;&gt;"Stage 2",$B$3&lt;&gt;"Stage 3"),TRUE,IF($U48,TRUE,COUNTIF($C$32:$C47,AI48)&lt;IF(AND($B$3="Stage 2",$B$5=20,AI48=$E$5,$A48&lt;=IF($B$8="One Keeper",$B$5,$B$8)),2,IF(AND(OR($B$3="Stage 2",AND($B$3="Stage 3",OR($B$15="Year 10-11-12 Girls"))),AI48=$E$5,$A48&lt;=IF($B$8="One Keeper",$B$5,$B$8)),3,$B$9)))))))</f>
        <v>1</v>
      </c>
      <c r="AW48" s="20" t="b">
        <f>IF(AJ48="",FALSE,AND(AJ48&lt;&gt;$B48,AJ48&lt;&gt;$C47,IFERROR(INDEX($E$18:$E$30,MATCH(AJ48,$B$18:$B$30,0)),"No")="Yes",IF(AND(OR($B$3="Stage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Girls"))),$B$5&gt;20),MIN(3,MAX(2,Setup!$B$14)),2))*2),AJ48=$E$5,IF(AND(OR($B$3="Stage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Girls"))),$B$5&gt;20),MIN(3,MAX(2,Setup!$B$14)),2))*2-1))),AJ48=$E$4,TRUE)),COUNTIF($C$32:$C47,AJ48)&lt;$B$6,IF($BI48,COUNTIF($C$32:$C47,AJ48)&lt;IF($B$3="Stage 1",MIN($B$6,MAX(1,INT($B$5/$B$11))),IF(AND($B$3="Stage 3",$B$5=20,$B$11&gt;11),1,IF(AND($B$3="Stage 3",OR($B$15="Year 10-11-12 Girls"),$B$5&gt;20),MAX(2,Setup!$B$14),Setup!$B$14))),IF(AND($B$3&lt;&gt;"Stage 2",$B$3&lt;&gt;"Stage 3"),TRUE,IF($U48,TRUE,COUNTIF($C$32:$C47,AJ48)&lt;IF(AND($B$3="Stage 2",$B$5=20,AJ48=$E$5,$A48&lt;=IF($B$8="One Keeper",$B$5,$B$8)),2,IF(AND(OR($B$3="Stage 2",AND($B$3="Stage 3",OR($B$15="Year 10-11-12 Girls"))),AJ48=$E$5,$A48&lt;=IF($B$8="One Keeper",$B$5,$B$8)),3,$B$9)))))))</f>
        <v>1</v>
      </c>
      <c r="AX48" s="20" t="b">
        <f>IF(AK48="",FALSE,AND(AK48&lt;&gt;$B48,AK48&lt;&gt;$C47,IFERROR(INDEX($E$18:$E$30,MATCH(AK48,$B$18:$B$30,0)),"No")="Yes",IF(AND(OR($B$3="Stage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Girls"))),$B$5&gt;20),MIN(3,MAX(2,Setup!$B$14)),2))*2),AK48=$E$5,IF(AND(OR($B$3="Stage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Girls"))),$B$5&gt;20),MIN(3,MAX(2,Setup!$B$14)),2))*2-1))),AK48=$E$4,TRUE)),COUNTIF($C$32:$C47,AK48)&lt;$B$6,IF($BI48,COUNTIF($C$32:$C47,AK48)&lt;IF($B$3="Stage 1",MIN($B$6,MAX(1,INT($B$5/$B$11))),IF(AND($B$3="Stage 3",$B$5=20,$B$11&gt;11),1,IF(AND($B$3="Stage 3",OR($B$15="Year 10-11-12 Girls"),$B$5&gt;20),MAX(2,Setup!$B$14),Setup!$B$14))),IF(AND($B$3&lt;&gt;"Stage 2",$B$3&lt;&gt;"Stage 3"),TRUE,IF($U48,TRUE,COUNTIF($C$32:$C47,AK48)&lt;IF(AND($B$3="Stage 2",$B$5=20,AK48=$E$5,$A48&lt;=IF($B$8="One Keeper",$B$5,$B$8)),2,IF(AND(OR($B$3="Stage 2",AND($B$3="Stage 3",OR($B$15="Year 10-11-12 Girls"))),AK48=$E$5,$A48&lt;=IF($B$8="One Keeper",$B$5,$B$8)),3,$B$9)))))))</f>
        <v>1</v>
      </c>
      <c r="AY48" s="20" t="b">
        <f>IF(AL48="",FALSE,AND(AL48&lt;&gt;$B48,AL48&lt;&gt;$C47,IFERROR(INDEX($E$18:$E$30,MATCH(AL48,$B$18:$B$30,0)),"No")="Yes",IF(AND(OR($B$3="Stage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Girls"))),$B$5&gt;20),MIN(3,MAX(2,Setup!$B$14)),2))*2),AL48=$E$5,IF(AND(OR($B$3="Stage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Girls"))),$B$5&gt;20),MIN(3,MAX(2,Setup!$B$14)),2))*2-1))),AL48=$E$4,TRUE)),COUNTIF($C$32:$C47,AL48)&lt;$B$6,IF($BI48,COUNTIF($C$32:$C47,AL48)&lt;IF($B$3="Stage 1",MIN($B$6,MAX(1,INT($B$5/$B$11))),IF(AND($B$3="Stage 3",$B$5=20,$B$11&gt;11),1,IF(AND($B$3="Stage 3",OR($B$15="Year 10-11-12 Girls"),$B$5&gt;20),MAX(2,Setup!$B$14),Setup!$B$14))),IF(AND($B$3&lt;&gt;"Stage 2",$B$3&lt;&gt;"Stage 3"),TRUE,IF($U48,TRUE,COUNTIF($C$32:$C47,AL48)&lt;IF(AND($B$3="Stage 2",$B$5=20,AL48=$E$5,$A48&lt;=IF($B$8="One Keeper",$B$5,$B$8)),2,IF(AND(OR($B$3="Stage 2",AND($B$3="Stage 3",OR($B$15="Year 10-11-12 Girls"))),AL48=$E$5,$A48&lt;=IF($B$8="One Keeper",$B$5,$B$8)),3,$B$9)))))))</f>
        <v>1</v>
      </c>
      <c r="AZ48" s="20" t="b">
        <f>IF(AM48="",FALSE,AND(AM48&lt;&gt;$B48,AM48&lt;&gt;$C47,IFERROR(INDEX($E$18:$E$30,MATCH(AM48,$B$18:$B$30,0)),"No")="Yes",IF(AND(OR($B$3="Stage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Girls"))),$B$5&gt;20),MIN(3,MAX(2,Setup!$B$14)),2))*2),AM48=$E$5,IF(AND(OR($B$3="Stage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Girls"))),$B$5&gt;20),MIN(3,MAX(2,Setup!$B$14)),2))*2-1))),AM48=$E$4,TRUE)),COUNTIF($C$32:$C47,AM48)&lt;$B$6,IF($BI48,COUNTIF($C$32:$C47,AM48)&lt;IF($B$3="Stage 1",MIN($B$6,MAX(1,INT($B$5/$B$11))),IF(AND($B$3="Stage 3",$B$5=20,$B$11&gt;11),1,IF(AND($B$3="Stage 3",OR($B$15="Year 10-11-12 Girls"),$B$5&gt;20),MAX(2,Setup!$B$14),Setup!$B$14))),IF(AND($B$3&lt;&gt;"Stage 2",$B$3&lt;&gt;"Stage 3"),TRUE,IF($U48,TRUE,COUNTIF($C$32:$C47,AM48)&lt;IF(AND($B$3="Stage 2",$B$5=20,AM48=$E$5,$A48&lt;=IF($B$8="One Keeper",$B$5,$B$8)),2,IF(AND(OR($B$3="Stage 2",AND($B$3="Stage 3",OR($B$15="Year 10-11-12 Girls"))),AM48=$E$5,$A48&lt;=IF($B$8="One Keeper",$B$5,$B$8)),3,$B$9)))))))</f>
        <v>0</v>
      </c>
      <c r="BA48" s="20" t="b">
        <f>IF(AN48="",FALSE,AND(AN48&lt;&gt;$B48,AN48&lt;&gt;$C47,IFERROR(INDEX($E$18:$E$30,MATCH(AN48,$B$18:$B$30,0)),"No")="Yes",IF(AND(OR($B$3="Stage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Girls"))),$B$5&gt;20),MIN(3,MAX(2,Setup!$B$14)),2))*2),AN48=$E$5,IF(AND(OR($B$3="Stage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Girls"))),$B$5&gt;20),MIN(3,MAX(2,Setup!$B$14)),2))*2-1))),AN48=$E$4,TRUE)),COUNTIF($C$32:$C47,AN48)&lt;$B$6,IF($BI48,COUNTIF($C$32:$C47,AN48)&lt;IF($B$3="Stage 1",MIN($B$6,MAX(1,INT($B$5/$B$11))),IF(AND($B$3="Stage 3",$B$5=20,$B$11&gt;11),1,IF(AND($B$3="Stage 3",OR($B$15="Year 10-11-12 Girls"),$B$5&gt;20),MAX(2,Setup!$B$14),Setup!$B$14))),IF(AND($B$3&lt;&gt;"Stage 2",$B$3&lt;&gt;"Stage 3"),TRUE,IF($U48,TRUE,COUNTIF($C$32:$C47,AN48)&lt;IF(AND($B$3="Stage 2",$B$5=20,AN48=$E$5,$A48&lt;=IF($B$8="One Keeper",$B$5,$B$8)),2,IF(AND(OR($B$3="Stage 2",AND($B$3="Stage 3",OR($B$15="Year 10-11-12 Girls"))),AN48=$E$5,$A48&lt;=IF($B$8="One Keeper",$B$5,$B$8)),3,$B$9)))))))</f>
        <v>1</v>
      </c>
      <c r="BB48" s="20" t="b">
        <f>IF(AO48="",FALSE,AND(AO48&lt;&gt;$B48,AO48&lt;&gt;$C47,IFERROR(INDEX($E$18:$E$30,MATCH(AO48,$B$18:$B$30,0)),"No")="Yes",IF(AND(OR($B$3="Stage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Girls"))),$B$5&gt;20),MIN(3,MAX(2,Setup!$B$14)),2))*2),AO48=$E$5,IF(AND(OR($B$3="Stage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Girls"))),$B$5&gt;20),MIN(3,MAX(2,Setup!$B$14)),2))*2-1))),AO48=$E$4,TRUE)),COUNTIF($C$32:$C47,AO48)&lt;$B$6,IF($BI48,COUNTIF($C$32:$C47,AO48)&lt;IF($B$3="Stage 1",MIN($B$6,MAX(1,INT($B$5/$B$11))),IF(AND($B$3="Stage 3",$B$5=20,$B$11&gt;11),1,IF(AND($B$3="Stage 3",OR($B$15="Year 10-11-12 Girls"),$B$5&gt;20),MAX(2,Setup!$B$14),Setup!$B$14))),IF(AND($B$3&lt;&gt;"Stage 2",$B$3&lt;&gt;"Stage 3"),TRUE,IF($U48,TRUE,COUNTIF($C$32:$C47,AO48)&lt;IF(AND($B$3="Stage 2",$B$5=20,AO48=$E$5,$A48&lt;=IF($B$8="One Keeper",$B$5,$B$8)),2,IF(AND(OR($B$3="Stage 2",AND($B$3="Stage 3",OR($B$15="Year 10-11-12 Girls"))),AO48=$E$5,$A48&lt;=IF($B$8="One Keeper",$B$5,$B$8)),3,$B$9)))))))</f>
        <v>0</v>
      </c>
      <c r="BC48" s="20" t="b">
        <f>IF(AP48="",FALSE,AND(AP48&lt;&gt;$B48,AP48&lt;&gt;$C47,IFERROR(INDEX($E$18:$E$30,MATCH(AP48,$B$18:$B$30,0)),"No")="Yes",IF(AND(OR($B$3="Stage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Girls"))),$B$5&gt;20),MIN(3,MAX(2,Setup!$B$14)),2))*2),AP48=$E$5,IF(AND(OR($B$3="Stage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Girls"))),$B$5&gt;20),MIN(3,MAX(2,Setup!$B$14)),2))*2-1))),AP48=$E$4,TRUE)),COUNTIF($C$32:$C47,AP48)&lt;$B$6,IF($BI48,COUNTIF($C$32:$C47,AP48)&lt;IF($B$3="Stage 1",MIN($B$6,MAX(1,INT($B$5/$B$11))),IF(AND($B$3="Stage 3",$B$5=20,$B$11&gt;11),1,IF(AND($B$3="Stage 3",OR($B$15="Year 10-11-12 Girls"),$B$5&gt;20),MAX(2,Setup!$B$14),Setup!$B$14))),IF(AND($B$3&lt;&gt;"Stage 2",$B$3&lt;&gt;"Stage 3"),TRUE,IF($U48,TRUE,COUNTIF($C$32:$C47,AP48)&lt;IF(AND($B$3="Stage 2",$B$5=20,AP48=$E$5,$A48&lt;=IF($B$8="One Keeper",$B$5,$B$8)),2,IF(AND(OR($B$3="Stage 2",AND($B$3="Stage 3",OR($B$15="Year 10-11-12 Girls"))),AP48=$E$5,$A48&lt;=IF($B$8="One Keeper",$B$5,$B$8)),3,$B$9)))))))</f>
        <v>1</v>
      </c>
      <c r="BD48" s="20" t="b">
        <f>IF(AQ48="",FALSE,AND(AQ48&lt;&gt;$B48,AQ48&lt;&gt;$C47,IFERROR(INDEX($E$18:$E$30,MATCH(AQ48,$B$18:$B$30,0)),"No")="Yes",IF(AND(OR($B$3="Stage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Girls"))),$B$5&gt;20),MIN(3,MAX(2,Setup!$B$14)),2))*2),AQ48=$E$5,IF(AND(OR($B$3="Stage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Girls"))),$B$5&gt;20),MIN(3,MAX(2,Setup!$B$14)),2))*2-1))),AQ48=$E$4,TRUE)),COUNTIF($C$32:$C47,AQ48)&lt;$B$6,IF($BI48,COUNTIF($C$32:$C47,AQ48)&lt;IF($B$3="Stage 1",MIN($B$6,MAX(1,INT($B$5/$B$11))),IF(AND($B$3="Stage 3",$B$5=20,$B$11&gt;11),1,IF(AND($B$3="Stage 3",OR($B$15="Year 10-11-12 Girls"),$B$5&gt;20),MAX(2,Setup!$B$14),Setup!$B$14))),IF(AND($B$3&lt;&gt;"Stage 2",$B$3&lt;&gt;"Stage 3"),TRUE,IF($U48,TRUE,COUNTIF($C$32:$C47,AQ48)&lt;IF(AND($B$3="Stage 2",$B$5=20,AQ48=$E$5,$A48&lt;=IF($B$8="One Keeper",$B$5,$B$8)),2,IF(AND(OR($B$3="Stage 2",AND($B$3="Stage 3",OR($B$15="Year 10-11-12 Girls"))),AQ48=$E$5,$A48&lt;=IF($B$8="One Keeper",$B$5,$B$8)),3,$B$9)))))))</f>
        <v>1</v>
      </c>
      <c r="BE48" s="20" t="b">
        <f>IF(AR48="",FALSE,AND(AR48&lt;&gt;$B48,AR48&lt;&gt;$C47,IFERROR(INDEX($E$18:$E$30,MATCH(AR48,$B$18:$B$30,0)),"No")="Yes",IF(AND(OR($B$3="Stage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Girls"))),$B$5&gt;20),MIN(3,MAX(2,Setup!$B$14)),2))*2),AR48=$E$5,IF(AND(OR($B$3="Stage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Girls"))),$B$5&gt;20),MIN(3,MAX(2,Setup!$B$14)),2))*2-1))),AR48=$E$4,TRUE)),COUNTIF($C$32:$C47,AR48)&lt;$B$6,IF($BI48,COUNTIF($C$32:$C47,AR48)&lt;IF($B$3="Stage 1",MIN($B$6,MAX(1,INT($B$5/$B$11))),IF(AND($B$3="Stage 3",$B$5=20,$B$11&gt;11),1,IF(AND($B$3="Stage 3",OR($B$15="Year 10-11-12 Girls"),$B$5&gt;20),MAX(2,Setup!$B$14),Setup!$B$14))),IF(AND($B$3&lt;&gt;"Stage 2",$B$3&lt;&gt;"Stage 3"),TRUE,IF($U48,TRUE,COUNTIF($C$32:$C47,AR48)&lt;IF(AND($B$3="Stage 2",$B$5=20,AR48=$E$5,$A48&lt;=IF($B$8="One Keeper",$B$5,$B$8)),2,IF(AND(OR($B$3="Stage 2",AND($B$3="Stage 3",OR($B$15="Year 10-11-12 Girls"))),AR48=$E$5,$A48&lt;=IF($B$8="One Keeper",$B$5,$B$8)),3,$B$9)))))))</f>
        <v>1</v>
      </c>
      <c r="BF48" s="20" t="b">
        <f>IF(AS48="",FALSE,AND(AS48&lt;&gt;$B48,AS48&lt;&gt;$C47,IFERROR(INDEX($E$18:$E$30,MATCH(AS48,$B$18:$B$30,0)),"No")="Yes",IF(AND(OR($B$3="Stage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Girls"))),$B$5&gt;20),MIN(3,MAX(2,Setup!$B$14)),2))*2),AS48=$E$5,IF(AND(OR($B$3="Stage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Girls"))),$B$5&gt;20),MIN(3,MAX(2,Setup!$B$14)),2))*2-1))),AS48=$E$4,TRUE)),COUNTIF($C$32:$C47,AS48)&lt;$B$6,IF($BI48,COUNTIF($C$32:$C47,AS48)&lt;IF($B$3="Stage 1",MIN($B$6,MAX(1,INT($B$5/$B$11))),IF(AND($B$3="Stage 3",$B$5=20,$B$11&gt;11),1,IF(AND($B$3="Stage 3",OR($B$15="Year 10-11-12 Girls"),$B$5&gt;20),MAX(2,Setup!$B$14),Setup!$B$14))),IF(AND($B$3&lt;&gt;"Stage 2",$B$3&lt;&gt;"Stage 3"),TRUE,IF($U48,TRUE,COUNTIF($C$32:$C47,AS48)&lt;IF(AND($B$3="Stage 2",$B$5=20,AS48=$E$5,$A48&lt;=IF($B$8="One Keeper",$B$5,$B$8)),2,IF(AND(OR($B$3="Stage 2",AND($B$3="Stage 3",OR($B$15="Year 10-11-12 Girls"))),AS48=$E$5,$A48&lt;=IF($B$8="One Keeper",$B$5,$B$8)),3,$B$9)))))))</f>
        <v>1</v>
      </c>
      <c r="BG48" s="20" t="b">
        <f>IF(AT48="",FALSE,AND(AT48&lt;&gt;$B48,AT48&lt;&gt;$C47,IFERROR(INDEX($E$18:$E$30,MATCH(AT48,$B$18:$B$30,0)),"No")="Yes",IF(AND(OR($B$3="Stage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Girls"))),$B$5&gt;20),MIN(3,MAX(2,Setup!$B$14)),2))*2),AT48=$E$5,IF(AND(OR($B$3="Stage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Girls"))),$B$5&gt;20),MIN(3,MAX(2,Setup!$B$14)),2))*2-1))),AT48=$E$4,TRUE)),COUNTIF($C$32:$C47,AT48)&lt;$B$6,IF($BI48,COUNTIF($C$32:$C47,AT48)&lt;IF($B$3="Stage 1",MIN($B$6,MAX(1,INT($B$5/$B$11))),IF(AND($B$3="Stage 3",$B$5=20,$B$11&gt;11),1,IF(AND($B$3="Stage 3",OR($B$15="Year 10-11-12 Girls"),$B$5&gt;20),MAX(2,Setup!$B$14),Setup!$B$14))),IF(AND($B$3&lt;&gt;"Stage 2",$B$3&lt;&gt;"Stage 3"),TRUE,IF($U48,TRUE,COUNTIF($C$32:$C47,AT48)&lt;IF(AND($B$3="Stage 2",$B$5=20,AT48=$E$5,$A48&lt;=IF($B$8="One Keeper",$B$5,$B$8)),2,IF(AND(OR($B$3="Stage 2",AND($B$3="Stage 3",OR($B$15="Year 10-11-12 Girls"))),AT48=$E$5,$A48&lt;=IF($B$8="One Keeper",$B$5,$B$8)),3,$B$9)))))))</f>
        <v>0</v>
      </c>
      <c r="BH48" s="20" t="b">
        <f>IF(AU48="",FALSE,AND(AU48&lt;&gt;$B48,AU48&lt;&gt;$C47,IFERROR(INDEX($E$18:$E$30,MATCH(AU48,$B$18:$B$30,0)),"No")="Yes",IF(AND(OR($B$3="Stage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Girls"))),$B$5&gt;20),MIN(3,MAX(2,Setup!$B$14)),2))*2),AU48=$E$5,IF(AND(OR($B$3="Stage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Girls"))),$B$5&gt;20),MIN(3,MAX(2,Setup!$B$14)),2))*2-1))),AU48=$E$4,TRUE)),COUNTIF($C$32:$C47,AU48)&lt;$B$6,IF($BI48,COUNTIF($C$32:$C47,AU48)&lt;IF($B$3="Stage 1",MIN($B$6,MAX(1,INT($B$5/$B$11))),IF(AND($B$3="Stage 3",$B$5=20,$B$11&gt;11),1,IF(AND($B$3="Stage 3",OR($B$15="Year 10-11-12 Girls"),$B$5&gt;20),MAX(2,Setup!$B$14),Setup!$B$14))),IF(AND($B$3&lt;&gt;"Stage 2",$B$3&lt;&gt;"Stage 3"),TRUE,IF($U48,TRUE,COUNTIF($C$32:$C47,AU48)&lt;IF(AND($B$3="Stage 2",$B$5=20,AU48=$E$5,$A48&lt;=IF($B$8="One Keeper",$B$5,$B$8)),2,IF(AND(OR($B$3="Stage 2",AND($B$3="Stage 3",OR($B$15="Year 10-11-12 Girls"))),AU48=$E$5,$A48&lt;=IF($B$8="One Keeper",$B$5,$B$8)),3,$B$9)))))))</f>
        <v>1</v>
      </c>
      <c r="BI48"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Keeper",$E$4&lt;&gt;$E$5,$A48&lt;=IF($B$8="One Keeper",$B$5,$B$8),COUNTIF($C$32:$C47,$E$5)&lt;IF(AND($B$3="Stage 3",$B$5=20,$B$11&gt;11),1,IF(AND(OR($B$3="Stage 2",AND($B$3="Stage 3",OR($B$15="Year 10-11-12 Girls"))),$B$5&gt;20),MIN(3,MAX(2,Setup!$B$14)),2)),IFERROR(INDEX($E$18:$E$30,MATCH($E$5,$B$18:$B$30,0)),"No")="Yes",$C47&lt;&gt;$E$5,MOD($A48,2)=0,$A48&lt;=IF(AND($B$3="Stage 3",$B$5=20,$B$11&gt;11),1,IF(AND(OR($B$3="Stage 2",AND($B$3="Stage 3",OR($B$15="Year 10-11-12 Girls"))),$B$5&gt;20),MIN(3,MAX(2,Setup!$B$14)),2))*2),AND(OR($B$3="Stage 1",$B$3="Stage 2",AND($B$3="Stage 3",OR(OR($B$15="Year 10-11-12 Girls"),OR($B$15="Year 8 Boys",$B$15="Year 9 Boys",$B$15="Year 10-11 Boys")))),$B$8&lt;&gt;"One Keeper",$E$4&lt;&gt;$E$5,$A48&gt;IF($B$8="One Keeper",$B$5,$B$8),COUNTIF($C$32:$C47,$E$4)&lt;IF(AND($B$3="Stage 3",$B$5=20,$B$11&gt;11),1,IF(AND(OR($B$3="Stage 2",AND($B$3="Stage 3",OR($B$15="Year 10-11-12 Girls"))),$B$5&gt;20),MIN(3,MAX(2,Setup!$B$14)),2)),IFERROR(INDEX($E$18:$E$30,MATCH($E$4,$B$18:$B$30,0)),"No")="Yes",$C47&lt;&gt;$E$4,IF($B$7="Three-over spell",AND(MOD($A48-IF($B$8="One Keeper",$B$5,$B$8)-1,3)=0,($A48-IF($B$8="One Keeper",$B$5,$B$8))&lt;=1+(IF(AND($B$3="Stage 3",$B$5=20,$B$11&gt;11),1,IF(AND(OR($B$3="Stage 2",AND($B$3="Stage 3",OR($B$15="Year 10-11-12 Girls"))),$B$5&gt;20),MIN(3,MAX(2,Setup!$B$14)),2))-1)*3),AND(MOD($A48-IF($B$8="One Keeper",$B$5,$B$8),2)=1,($A48-IF($B$8="One Keeper",$B$5,$B$8))&lt;=IF(AND($B$3="Stage 3",$B$5=20,$B$11&gt;11),1,IF(AND(OR($B$3="Stage 2",AND($B$3="Stage 3",OR($B$15="Year 10-11-12 Girls"))),$B$5&gt;20),MIN(3,MAX(2,Setup!$B$14)),2))*2-1))))),OR($U48,AND($B$3="Stage 3",$B$5=20,$B$11&gt;11)),OR($BJ48,$BK48,$BL48,$BM48,$BN48,$BO48,$BP48,$BQ48,$BR48,$BS48,$BT48,$BU48,$BV48))</f>
        <v>0</v>
      </c>
      <c r="BJ48" s="20" t="b">
        <f>IF(AI48="",FALSE,AND(AI48&lt;&gt;IF(AND($B$3="Stage 3",OR($B$15="Year 8 Boys",$B$15="Year 9 Boys",$B$15="Year 10-11 Boys"),$B$8="One Keeper"),$E$4,""),AI48&lt;&gt;$B48,AI48&lt;&gt;$C47,IFERROR(INDEX($E$18:$E$30,MATCH(AI48,$B$18:$B$30,0)),"No")="Yes",COUNTIF($C$32:$C47,AI48)&lt;$B$6,COUNTIF($C$32:$C47,AI48)&lt;IF($B$3="Stage 1",MIN($B$6,MAX(1,INT($B$5/$B$11))),IF(AND($B$3="Stage 3",$B$5=20,$B$11&gt;11),1,IF(AND($B$3="Stage 3",OR($B$15="Year 10-11-12 Girls"),$B$5&gt;20),MAX(2,Setup!$B$14),Setup!$B$14)))))</f>
        <v>0</v>
      </c>
      <c r="BK48" s="20" t="b">
        <f>IF(AJ48="",FALSE,AND(AJ48&lt;&gt;IF(AND($B$3="Stage 3",OR($B$15="Year 8 Boys",$B$15="Year 9 Boys",$B$15="Year 10-11 Boys"),$B$8="One Keeper"),$E$4,""),AJ48&lt;&gt;$B48,AJ48&lt;&gt;$C47,IFERROR(INDEX($E$18:$E$30,MATCH(AJ48,$B$18:$B$30,0)),"No")="Yes",COUNTIF($C$32:$C47,AJ48)&lt;$B$6,COUNTIF($C$32:$C47,AJ48)&lt;IF($B$3="Stage 1",MIN($B$6,MAX(1,INT($B$5/$B$11))),IF(AND($B$3="Stage 3",$B$5=20,$B$11&gt;11),1,IF(AND($B$3="Stage 3",OR($B$15="Year 10-11-12 Girls"),$B$5&gt;20),MAX(2,Setup!$B$14),Setup!$B$14)))))</f>
        <v>0</v>
      </c>
      <c r="BL48" s="20" t="b">
        <f>IF(AK48="",FALSE,AND(AK48&lt;&gt;IF(AND($B$3="Stage 3",OR($B$15="Year 8 Boys",$B$15="Year 9 Boys",$B$15="Year 10-11 Boys"),$B$8="One Keeper"),$E$4,""),AK48&lt;&gt;$B48,AK48&lt;&gt;$C47,IFERROR(INDEX($E$18:$E$30,MATCH(AK48,$B$18:$B$30,0)),"No")="Yes",COUNTIF($C$32:$C47,AK48)&lt;$B$6,COUNTIF($C$32:$C47,AK48)&lt;IF($B$3="Stage 1",MIN($B$6,MAX(1,INT($B$5/$B$11))),IF(AND($B$3="Stage 3",$B$5=20,$B$11&gt;11),1,IF(AND($B$3="Stage 3",OR($B$15="Year 10-11-12 Girls"),$B$5&gt;20),MAX(2,Setup!$B$14),Setup!$B$14)))))</f>
        <v>0</v>
      </c>
      <c r="BM48" s="20" t="b">
        <f>IF(AL48="",FALSE,AND(AL48&lt;&gt;IF(AND($B$3="Stage 3",OR($B$15="Year 8 Boys",$B$15="Year 9 Boys",$B$15="Year 10-11 Boys"),$B$8="One Keeper"),$E$4,""),AL48&lt;&gt;$B48,AL48&lt;&gt;$C47,IFERROR(INDEX($E$18:$E$30,MATCH(AL48,$B$18:$B$30,0)),"No")="Yes",COUNTIF($C$32:$C47,AL48)&lt;$B$6,COUNTIF($C$32:$C47,AL48)&lt;IF($B$3="Stage 1",MIN($B$6,MAX(1,INT($B$5/$B$11))),IF(AND($B$3="Stage 3",$B$5=20,$B$11&gt;11),1,IF(AND($B$3="Stage 3",OR($B$15="Year 10-11-12 Girls"),$B$5&gt;20),MAX(2,Setup!$B$14),Setup!$B$14)))))</f>
        <v>0</v>
      </c>
      <c r="BN48" s="20" t="b">
        <f>IF(AM48="",FALSE,AND(AM48&lt;&gt;IF(AND($B$3="Stage 3",OR($B$15="Year 8 Boys",$B$15="Year 9 Boys",$B$15="Year 10-11 Boys"),$B$8="One Keeper"),$E$4,""),AM48&lt;&gt;$B48,AM48&lt;&gt;$C47,IFERROR(INDEX($E$18:$E$30,MATCH(AM48,$B$18:$B$30,0)),"No")="Yes",COUNTIF($C$32:$C47,AM48)&lt;$B$6,COUNTIF($C$32:$C47,AM48)&lt;IF($B$3="Stage 1",MIN($B$6,MAX(1,INT($B$5/$B$11))),IF(AND($B$3="Stage 3",$B$5=20,$B$11&gt;11),1,IF(AND($B$3="Stage 3",OR($B$15="Year 10-11-12 Girls"),$B$5&gt;20),MAX(2,Setup!$B$14),Setup!$B$14)))))</f>
        <v>0</v>
      </c>
      <c r="BO48" s="20" t="b">
        <f>IF(AN48="",FALSE,AND(AN48&lt;&gt;IF(AND($B$3="Stage 3",OR($B$15="Year 8 Boys",$B$15="Year 9 Boys",$B$15="Year 10-11 Boys"),$B$8="One Keeper"),$E$4,""),AN48&lt;&gt;$B48,AN48&lt;&gt;$C47,IFERROR(INDEX($E$18:$E$30,MATCH(AN48,$B$18:$B$30,0)),"No")="Yes",COUNTIF($C$32:$C47,AN48)&lt;$B$6,COUNTIF($C$32:$C47,AN48)&lt;IF($B$3="Stage 1",MIN($B$6,MAX(1,INT($B$5/$B$11))),IF(AND($B$3="Stage 3",$B$5=20,$B$11&gt;11),1,IF(AND($B$3="Stage 3",OR($B$15="Year 10-11-12 Girls"),$B$5&gt;20),MAX(2,Setup!$B$14),Setup!$B$14)))))</f>
        <v>0</v>
      </c>
      <c r="BP48" s="20" t="b">
        <f>IF(AO48="",FALSE,AND(AO48&lt;&gt;IF(AND($B$3="Stage 3",OR($B$15="Year 8 Boys",$B$15="Year 9 Boys",$B$15="Year 10-11 Boys"),$B$8="One Keeper"),$E$4,""),AO48&lt;&gt;$B48,AO48&lt;&gt;$C47,IFERROR(INDEX($E$18:$E$30,MATCH(AO48,$B$18:$B$30,0)),"No")="Yes",COUNTIF($C$32:$C47,AO48)&lt;$B$6,COUNTIF($C$32:$C47,AO48)&lt;IF($B$3="Stage 1",MIN($B$6,MAX(1,INT($B$5/$B$11))),IF(AND($B$3="Stage 3",$B$5=20,$B$11&gt;11),1,IF(AND($B$3="Stage 3",OR($B$15="Year 10-11-12 Girls"),$B$5&gt;20),MAX(2,Setup!$B$14),Setup!$B$14)))))</f>
        <v>0</v>
      </c>
      <c r="BQ48" s="20" t="b">
        <f>IF(AP48="",FALSE,AND(AP48&lt;&gt;IF(AND($B$3="Stage 3",OR($B$15="Year 8 Boys",$B$15="Year 9 Boys",$B$15="Year 10-11 Boys"),$B$8="One Keeper"),$E$4,""),AP48&lt;&gt;$B48,AP48&lt;&gt;$C47,IFERROR(INDEX($E$18:$E$30,MATCH(AP48,$B$18:$B$30,0)),"No")="Yes",COUNTIF($C$32:$C47,AP48)&lt;$B$6,COUNTIF($C$32:$C47,AP48)&lt;IF($B$3="Stage 1",MIN($B$6,MAX(1,INT($B$5/$B$11))),IF(AND($B$3="Stage 3",$B$5=20,$B$11&gt;11),1,IF(AND($B$3="Stage 3",OR($B$15="Year 10-11-12 Girls"),$B$5&gt;20),MAX(2,Setup!$B$14),Setup!$B$14)))))</f>
        <v>0</v>
      </c>
      <c r="BR48" s="20" t="b">
        <f>IF(AQ48="",FALSE,AND(AQ48&lt;&gt;IF(AND($B$3="Stage 3",OR($B$15="Year 8 Boys",$B$15="Year 9 Boys",$B$15="Year 10-11 Boys"),$B$8="One Keeper"),$E$4,""),AQ48&lt;&gt;$B48,AQ48&lt;&gt;$C47,IFERROR(INDEX($E$18:$E$30,MATCH(AQ48,$B$18:$B$30,0)),"No")="Yes",COUNTIF($C$32:$C47,AQ48)&lt;$B$6,COUNTIF($C$32:$C47,AQ48)&lt;IF($B$3="Stage 1",MIN($B$6,MAX(1,INT($B$5/$B$11))),IF(AND($B$3="Stage 3",$B$5=20,$B$11&gt;11),1,IF(AND($B$3="Stage 3",OR($B$15="Year 10-11-12 Girls"),$B$5&gt;20),MAX(2,Setup!$B$14),Setup!$B$14)))))</f>
        <v>0</v>
      </c>
      <c r="BS48" s="20" t="b">
        <f>IF(AR48="",FALSE,AND(AR48&lt;&gt;IF(AND($B$3="Stage 3",OR($B$15="Year 8 Boys",$B$15="Year 9 Boys",$B$15="Year 10-11 Boys"),$B$8="One Keeper"),$E$4,""),AR48&lt;&gt;$B48,AR48&lt;&gt;$C47,IFERROR(INDEX($E$18:$E$30,MATCH(AR48,$B$18:$B$30,0)),"No")="Yes",COUNTIF($C$32:$C47,AR48)&lt;$B$6,COUNTIF($C$32:$C47,AR48)&lt;IF($B$3="Stage 1",MIN($B$6,MAX(1,INT($B$5/$B$11))),IF(AND($B$3="Stage 3",$B$5=20,$B$11&gt;11),1,IF(AND($B$3="Stage 3",OR($B$15="Year 10-11-12 Girls"),$B$5&gt;20),MAX(2,Setup!$B$14),Setup!$B$14)))))</f>
        <v>0</v>
      </c>
      <c r="BT48" s="20" t="b">
        <f>IF(AS48="",FALSE,AND(AS48&lt;&gt;IF(AND($B$3="Stage 3",OR($B$15="Year 8 Boys",$B$15="Year 9 Boys",$B$15="Year 10-11 Boys"),$B$8="One Keeper"),$E$4,""),AS48&lt;&gt;$B48,AS48&lt;&gt;$C47,IFERROR(INDEX($E$18:$E$30,MATCH(AS48,$B$18:$B$30,0)),"No")="Yes",COUNTIF($C$32:$C47,AS48)&lt;$B$6,COUNTIF($C$32:$C47,AS48)&lt;IF($B$3="Stage 1",MIN($B$6,MAX(1,INT($B$5/$B$11))),IF(AND($B$3="Stage 3",$B$5=20,$B$11&gt;11),1,IF(AND($B$3="Stage 3",OR($B$15="Year 10-11-12 Girls"),$B$5&gt;20),MAX(2,Setup!$B$14),Setup!$B$14)))))</f>
        <v>0</v>
      </c>
      <c r="BU48" s="20" t="b">
        <f>IF(AT48="",FALSE,AND(AT48&lt;&gt;IF(AND($B$3="Stage 3",OR($B$15="Year 8 Boys",$B$15="Year 9 Boys",$B$15="Year 10-11 Boys"),$B$8="One Keeper"),$E$4,""),AT48&lt;&gt;$B48,AT48&lt;&gt;$C47,IFERROR(INDEX($E$18:$E$30,MATCH(AT48,$B$18:$B$30,0)),"No")="Yes",COUNTIF($C$32:$C47,AT48)&lt;$B$6,COUNTIF($C$32:$C47,AT48)&lt;IF($B$3="Stage 1",MIN($B$6,MAX(1,INT($B$5/$B$11))),IF(AND($B$3="Stage 3",$B$5=20,$B$11&gt;11),1,IF(AND($B$3="Stage 3",OR($B$15="Year 10-11-12 Girls"),$B$5&gt;20),MAX(2,Setup!$B$14),Setup!$B$14)))))</f>
        <v>0</v>
      </c>
      <c r="BV48" s="20" t="b">
        <f>IF(AU48="",FALSE,AND(AU48&lt;&gt;IF(AND($B$3="Stage 3",OR($B$15="Year 8 Boys",$B$15="Year 9 Boys",$B$15="Year 10-11 Boys"),$B$8="One Keeper"),$E$4,""),AU48&lt;&gt;$B48,AU48&lt;&gt;$C47,IFERROR(INDEX($E$18:$E$30,MATCH(AU48,$B$18:$B$30,0)),"No")="Yes",COUNTIF($C$32:$C47,AU48)&lt;$B$6,COUNTIF($C$32:$C47,AU48)&lt;IF($B$3="Stage 1",MIN($B$6,MAX(1,INT($B$5/$B$11))),IF(AND($B$3="Stage 3",$B$5=20,$B$11&gt;11),1,IF(AND($B$3="Stage 3",OR($B$15="Year 10-11-12 Girls"),$B$5&gt;20),MAX(2,Setup!$B$14),Setup!$B$14)))))</f>
        <v>0</v>
      </c>
      <c r="BW48" s="20"/>
      <c r="BX48" s="20"/>
      <c r="BY48" s="20"/>
      <c r="BZ48" s="20"/>
      <c r="CA48" s="20"/>
      <c r="CB48" s="20"/>
      <c r="CC48" s="20"/>
      <c r="CD48" s="20"/>
      <c r="CE48" s="20"/>
      <c r="CF48" s="20"/>
      <c r="CG48" s="20"/>
      <c r="CH48" s="20"/>
      <c r="CI48" s="20"/>
      <c r="CJ48" s="20"/>
      <c r="CK48" s="20"/>
    </row>
    <row r="49" spans="1:89" ht="26.4" customHeight="1">
      <c r="A49" s="18">
        <v>18</v>
      </c>
      <c r="B49" s="18" t="str">
        <f t="shared" si="5"/>
        <v>Player 2</v>
      </c>
      <c r="C49" s="18" t="str">
        <f t="shared" si="6"/>
        <v>Player 6</v>
      </c>
      <c r="D49" s="18">
        <f t="shared" si="7"/>
        <v>4</v>
      </c>
      <c r="E49" s="18">
        <f>IF($C49="","",COUNTIF($C$32:C49,$C49))</f>
        <v>3</v>
      </c>
      <c r="F49" s="18" t="str">
        <f t="shared" si="8"/>
        <v/>
      </c>
      <c r="H49" s="18" t="s">
        <v>157</v>
      </c>
      <c r="I49" s="18" t="str">
        <f>IF(SUMPRODUCT(--($F$32:$F$71&lt;&gt;""))=0,"OK","Review over flags")</f>
        <v>OK</v>
      </c>
      <c r="J49" s="18"/>
      <c r="K49" s="18"/>
      <c r="L49" s="18"/>
      <c r="M49" s="18"/>
      <c r="N49" s="18"/>
      <c r="T49" s="20">
        <f t="shared" si="15"/>
        <v>4</v>
      </c>
      <c r="U49" s="20" t="b">
        <f>IF(OR($B$3="Stage 2",AND($B$3="Stage 3",OR($B$15="Year 10-11-12 Girls"))),(IF(AND($P$18&lt;&gt;"",$P$18&lt;&gt;$E$4,COUNTIF($C$32:$C48,$P$18)&gt;=2),1,0)+IF(AND($P$19&lt;&gt;"",$P$19&lt;&gt;$E$4,COUNTIF($C$32:$C48,$P$19)&gt;=2),1,0)+IF(AND($P$20&lt;&gt;"",$P$20&lt;&gt;$E$4,COUNTIF($C$32:$C48,$P$20)&gt;=2),1,0)+IF(AND($P$21&lt;&gt;"",$P$21&lt;&gt;$E$4,COUNTIF($C$32:$C48,$P$21)&gt;=2),1,0)+IF(AND($P$22&lt;&gt;"",$P$22&lt;&gt;$E$4,COUNTIF($C$32:$C48,$P$22)&gt;=2),1,0)+IF(AND($P$23&lt;&gt;"",$P$23&lt;&gt;$E$4,COUNTIF($C$32:$C48,$P$23)&gt;=2),1,0)+IF(AND($P$24&lt;&gt;"",$P$24&lt;&gt;$E$4,COUNTIF($C$32:$C48,$P$24)&gt;=2),1,0)+IF(AND($P$25&lt;&gt;"",$P$25&lt;&gt;$E$4,COUNTIF($C$32:$C48,$P$25)&gt;=2),1,0)+IF(AND($P$26&lt;&gt;"",$P$26&lt;&gt;$E$4,COUNTIF($C$32:$C48,$P$26)&gt;=2),1,0)+IF(AND($P$27&lt;&gt;"",$P$27&lt;&gt;$E$4,COUNTIF($C$32:$C48,$P$27)&gt;=2),1,0)+IF(AND($P$28&lt;&gt;"",$P$28&lt;&gt;$E$4,COUNTIF($C$32:$C48,$P$28)&gt;=2),1,0)+IF(AND($P$29&lt;&gt;"",$P$29&lt;&gt;$E$4,COUNTIF($C$32:$C48,$P$29)&gt;=2),1,0)+IF(AND($P$30&lt;&gt;"",$P$30&lt;&gt;$E$4,COUNTIF($C$32:$C48,$P$30)&gt;=2),1,0))&gt;=MAX(0,$B$11-1),IF(AND($B$3="Stage 3",OR($B$15="Year 8 Boys",$B$15="Year 9 Boys",$B$15="Year 10-11 Boys")),(IF(AND($P$18&lt;&gt;"",COUNTIF($C$32:$C48,$P$18)&gt;=2),1,0)+IF(AND($P$19&lt;&gt;"",COUNTIF($C$32:$C48,$P$19)&gt;=2),1,0)+IF(AND($P$20&lt;&gt;"",COUNTIF($C$32:$C48,$P$20)&gt;=2),1,0)+IF(AND($P$21&lt;&gt;"",COUNTIF($C$32:$C48,$P$21)&gt;=2),1,0)+IF(AND($P$22&lt;&gt;"",COUNTIF($C$32:$C48,$P$22)&gt;=2),1,0)+IF(AND($P$23&lt;&gt;"",COUNTIF($C$32:$C48,$P$23)&gt;=2),1,0)+IF(AND($P$24&lt;&gt;"",COUNTIF($C$32:$C48,$P$24)&gt;=2),1,0)+IF(AND($P$25&lt;&gt;"",COUNTIF($C$32:$C48,$P$25)&gt;=2),1,0)+IF(AND($P$26&lt;&gt;"",COUNTIF($C$32:$C48,$P$26)&gt;=2),1,0)+IF(AND($P$27&lt;&gt;"",COUNTIF($C$32:$C48,$P$27)&gt;=2),1,0)+IF(AND($P$28&lt;&gt;"",COUNTIF($C$32:$C48,$P$28)&gt;=2),1,0)+IF(AND($P$29&lt;&gt;"",COUNTIF($C$32:$C48,$P$29)&gt;=2),1,0)+IF(AND($P$30&lt;&gt;"",COUNTIF($C$32:$C48,$P$30)&gt;=2),1,0))&gt;=7,TRUE))</f>
        <v>1</v>
      </c>
      <c r="V49" s="20">
        <f t="shared" si="30"/>
        <v>4</v>
      </c>
      <c r="W49" s="20">
        <f t="shared" si="30"/>
        <v>5</v>
      </c>
      <c r="X49" s="20">
        <f t="shared" si="30"/>
        <v>6</v>
      </c>
      <c r="Y49" s="20">
        <f t="shared" si="30"/>
        <v>7</v>
      </c>
      <c r="Z49" s="20">
        <f t="shared" si="30"/>
        <v>1</v>
      </c>
      <c r="AA49" s="20">
        <f t="shared" si="30"/>
        <v>2</v>
      </c>
      <c r="AB49" s="20">
        <f t="shared" si="30"/>
        <v>3</v>
      </c>
      <c r="AC49" s="20">
        <f t="shared" si="30"/>
        <v>4</v>
      </c>
      <c r="AD49" s="20">
        <f t="shared" si="30"/>
        <v>5</v>
      </c>
      <c r="AE49" s="20">
        <f t="shared" si="30"/>
        <v>6</v>
      </c>
      <c r="AF49" s="20">
        <f t="shared" si="30"/>
        <v>7</v>
      </c>
      <c r="AG49" s="20">
        <f t="shared" si="30"/>
        <v>1</v>
      </c>
      <c r="AH49" s="20">
        <f t="shared" si="30"/>
        <v>2</v>
      </c>
      <c r="AI49" s="20" t="str">
        <f t="shared" si="17"/>
        <v>Player 6</v>
      </c>
      <c r="AJ49" s="20" t="str">
        <f t="shared" si="18"/>
        <v>Player 7</v>
      </c>
      <c r="AK49" s="20" t="str">
        <f t="shared" si="19"/>
        <v>Player 1</v>
      </c>
      <c r="AL49" s="20" t="str">
        <f t="shared" si="20"/>
        <v>Player 2</v>
      </c>
      <c r="AM49" s="20" t="str">
        <f t="shared" si="21"/>
        <v>Player 3</v>
      </c>
      <c r="AN49" s="20" t="str">
        <f t="shared" si="22"/>
        <v>Player 4</v>
      </c>
      <c r="AO49" s="20" t="str">
        <f t="shared" si="23"/>
        <v>Player 5</v>
      </c>
      <c r="AP49" s="20" t="str">
        <f t="shared" si="24"/>
        <v>Player 6</v>
      </c>
      <c r="AQ49" s="20" t="str">
        <f t="shared" si="25"/>
        <v>Player 7</v>
      </c>
      <c r="AR49" s="20" t="str">
        <f t="shared" si="26"/>
        <v>Player 1</v>
      </c>
      <c r="AS49" s="20" t="str">
        <f t="shared" si="27"/>
        <v>Player 2</v>
      </c>
      <c r="AT49" s="20" t="str">
        <f t="shared" si="28"/>
        <v>Player 3</v>
      </c>
      <c r="AU49" s="20" t="str">
        <f t="shared" si="29"/>
        <v>Player 4</v>
      </c>
      <c r="AV49" s="20" t="b">
        <f>IF(AI49="",FALSE,AND(AI49&lt;&gt;$B49,AI49&lt;&gt;$C48,IFERROR(INDEX($E$18:$E$30,MATCH(AI49,$B$18:$B$30,0)),"No")="Yes",IF(AND(OR($B$3="Stage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Girls"))),$B$5&gt;20),MIN(3,MAX(2,Setup!$B$14)),2))*2),AI49=$E$5,IF(AND(OR($B$3="Stage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Girls"))),$B$5&gt;20),MIN(3,MAX(2,Setup!$B$14)),2))*2-1))),AI49=$E$4,TRUE)),COUNTIF($C$32:$C48,AI49)&lt;$B$6,IF($BI49,COUNTIF($C$32:$C48,AI49)&lt;IF($B$3="Stage 1",MIN($B$6,MAX(1,INT($B$5/$B$11))),IF(AND($B$3="Stage 3",$B$5=20,$B$11&gt;11),1,IF(AND($B$3="Stage 3",OR($B$15="Year 10-11-12 Girls"),$B$5&gt;20),MAX(2,Setup!$B$14),Setup!$B$14))),IF(AND($B$3&lt;&gt;"Stage 2",$B$3&lt;&gt;"Stage 3"),TRUE,IF($U49,TRUE,COUNTIF($C$32:$C48,AI49)&lt;IF(AND($B$3="Stage 2",$B$5=20,AI49=$E$5,$A49&lt;=IF($B$8="One Keeper",$B$5,$B$8)),2,IF(AND(OR($B$3="Stage 2",AND($B$3="Stage 3",OR($B$15="Year 10-11-12 Girls"))),AI49=$E$5,$A49&lt;=IF($B$8="One Keeper",$B$5,$B$8)),3,$B$9)))))))</f>
        <v>1</v>
      </c>
      <c r="AW49" s="20" t="b">
        <f>IF(AJ49="",FALSE,AND(AJ49&lt;&gt;$B49,AJ49&lt;&gt;$C48,IFERROR(INDEX($E$18:$E$30,MATCH(AJ49,$B$18:$B$30,0)),"No")="Yes",IF(AND(OR($B$3="Stage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Girls"))),$B$5&gt;20),MIN(3,MAX(2,Setup!$B$14)),2))*2),AJ49=$E$5,IF(AND(OR($B$3="Stage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Girls"))),$B$5&gt;20),MIN(3,MAX(2,Setup!$B$14)),2))*2-1))),AJ49=$E$4,TRUE)),COUNTIF($C$32:$C48,AJ49)&lt;$B$6,IF($BI49,COUNTIF($C$32:$C48,AJ49)&lt;IF($B$3="Stage 1",MIN($B$6,MAX(1,INT($B$5/$B$11))),IF(AND($B$3="Stage 3",$B$5=20,$B$11&gt;11),1,IF(AND($B$3="Stage 3",OR($B$15="Year 10-11-12 Girls"),$B$5&gt;20),MAX(2,Setup!$B$14),Setup!$B$14))),IF(AND($B$3&lt;&gt;"Stage 2",$B$3&lt;&gt;"Stage 3"),TRUE,IF($U49,TRUE,COUNTIF($C$32:$C48,AJ49)&lt;IF(AND($B$3="Stage 2",$B$5=20,AJ49=$E$5,$A49&lt;=IF($B$8="One Keeper",$B$5,$B$8)),2,IF(AND(OR($B$3="Stage 2",AND($B$3="Stage 3",OR($B$15="Year 10-11-12 Girls"))),AJ49=$E$5,$A49&lt;=IF($B$8="One Keeper",$B$5,$B$8)),3,$B$9)))))))</f>
        <v>1</v>
      </c>
      <c r="AX49" s="20" t="b">
        <f>IF(AK49="",FALSE,AND(AK49&lt;&gt;$B49,AK49&lt;&gt;$C48,IFERROR(INDEX($E$18:$E$30,MATCH(AK49,$B$18:$B$30,0)),"No")="Yes",IF(AND(OR($B$3="Stage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Girls"))),$B$5&gt;20),MIN(3,MAX(2,Setup!$B$14)),2))*2),AK49=$E$5,IF(AND(OR($B$3="Stage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Girls"))),$B$5&gt;20),MIN(3,MAX(2,Setup!$B$14)),2))*2-1))),AK49=$E$4,TRUE)),COUNTIF($C$32:$C48,AK49)&lt;$B$6,IF($BI49,COUNTIF($C$32:$C48,AK49)&lt;IF($B$3="Stage 1",MIN($B$6,MAX(1,INT($B$5/$B$11))),IF(AND($B$3="Stage 3",$B$5=20,$B$11&gt;11),1,IF(AND($B$3="Stage 3",OR($B$15="Year 10-11-12 Girls"),$B$5&gt;20),MAX(2,Setup!$B$14),Setup!$B$14))),IF(AND($B$3&lt;&gt;"Stage 2",$B$3&lt;&gt;"Stage 3"),TRUE,IF($U49,TRUE,COUNTIF($C$32:$C48,AK49)&lt;IF(AND($B$3="Stage 2",$B$5=20,AK49=$E$5,$A49&lt;=IF($B$8="One Keeper",$B$5,$B$8)),2,IF(AND(OR($B$3="Stage 2",AND($B$3="Stage 3",OR($B$15="Year 10-11-12 Girls"))),AK49=$E$5,$A49&lt;=IF($B$8="One Keeper",$B$5,$B$8)),3,$B$9)))))))</f>
        <v>1</v>
      </c>
      <c r="AY49" s="20" t="b">
        <f>IF(AL49="",FALSE,AND(AL49&lt;&gt;$B49,AL49&lt;&gt;$C48,IFERROR(INDEX($E$18:$E$30,MATCH(AL49,$B$18:$B$30,0)),"No")="Yes",IF(AND(OR($B$3="Stage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Girls"))),$B$5&gt;20),MIN(3,MAX(2,Setup!$B$14)),2))*2),AL49=$E$5,IF(AND(OR($B$3="Stage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Girls"))),$B$5&gt;20),MIN(3,MAX(2,Setup!$B$14)),2))*2-1))),AL49=$E$4,TRUE)),COUNTIF($C$32:$C48,AL49)&lt;$B$6,IF($BI49,COUNTIF($C$32:$C48,AL49)&lt;IF($B$3="Stage 1",MIN($B$6,MAX(1,INT($B$5/$B$11))),IF(AND($B$3="Stage 3",$B$5=20,$B$11&gt;11),1,IF(AND($B$3="Stage 3",OR($B$15="Year 10-11-12 Girls"),$B$5&gt;20),MAX(2,Setup!$B$14),Setup!$B$14))),IF(AND($B$3&lt;&gt;"Stage 2",$B$3&lt;&gt;"Stage 3"),TRUE,IF($U49,TRUE,COUNTIF($C$32:$C48,AL49)&lt;IF(AND($B$3="Stage 2",$B$5=20,AL49=$E$5,$A49&lt;=IF($B$8="One Keeper",$B$5,$B$8)),2,IF(AND(OR($B$3="Stage 2",AND($B$3="Stage 3",OR($B$15="Year 10-11-12 Girls"))),AL49=$E$5,$A49&lt;=IF($B$8="One Keeper",$B$5,$B$8)),3,$B$9)))))))</f>
        <v>0</v>
      </c>
      <c r="AZ49" s="20" t="b">
        <f>IF(AM49="",FALSE,AND(AM49&lt;&gt;$B49,AM49&lt;&gt;$C48,IFERROR(INDEX($E$18:$E$30,MATCH(AM49,$B$18:$B$30,0)),"No")="Yes",IF(AND(OR($B$3="Stage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Girls"))),$B$5&gt;20),MIN(3,MAX(2,Setup!$B$14)),2))*2),AM49=$E$5,IF(AND(OR($B$3="Stage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Girls"))),$B$5&gt;20),MIN(3,MAX(2,Setup!$B$14)),2))*2-1))),AM49=$E$4,TRUE)),COUNTIF($C$32:$C48,AM49)&lt;$B$6,IF($BI49,COUNTIF($C$32:$C48,AM49)&lt;IF($B$3="Stage 1",MIN($B$6,MAX(1,INT($B$5/$B$11))),IF(AND($B$3="Stage 3",$B$5=20,$B$11&gt;11),1,IF(AND($B$3="Stage 3",OR($B$15="Year 10-11-12 Girls"),$B$5&gt;20),MAX(2,Setup!$B$14),Setup!$B$14))),IF(AND($B$3&lt;&gt;"Stage 2",$B$3&lt;&gt;"Stage 3"),TRUE,IF($U49,TRUE,COUNTIF($C$32:$C48,AM49)&lt;IF(AND($B$3="Stage 2",$B$5=20,AM49=$E$5,$A49&lt;=IF($B$8="One Keeper",$B$5,$B$8)),2,IF(AND(OR($B$3="Stage 2",AND($B$3="Stage 3",OR($B$15="Year 10-11-12 Girls"))),AM49=$E$5,$A49&lt;=IF($B$8="One Keeper",$B$5,$B$8)),3,$B$9)))))))</f>
        <v>1</v>
      </c>
      <c r="BA49" s="20" t="b">
        <f>IF(AN49="",FALSE,AND(AN49&lt;&gt;$B49,AN49&lt;&gt;$C48,IFERROR(INDEX($E$18:$E$30,MATCH(AN49,$B$18:$B$30,0)),"No")="Yes",IF(AND(OR($B$3="Stage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Girls"))),$B$5&gt;20),MIN(3,MAX(2,Setup!$B$14)),2))*2),AN49=$E$5,IF(AND(OR($B$3="Stage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Girls"))),$B$5&gt;20),MIN(3,MAX(2,Setup!$B$14)),2))*2-1))),AN49=$E$4,TRUE)),COUNTIF($C$32:$C48,AN49)&lt;$B$6,IF($BI49,COUNTIF($C$32:$C48,AN49)&lt;IF($B$3="Stage 1",MIN($B$6,MAX(1,INT($B$5/$B$11))),IF(AND($B$3="Stage 3",$B$5=20,$B$11&gt;11),1,IF(AND($B$3="Stage 3",OR($B$15="Year 10-11-12 Girls"),$B$5&gt;20),MAX(2,Setup!$B$14),Setup!$B$14))),IF(AND($B$3&lt;&gt;"Stage 2",$B$3&lt;&gt;"Stage 3"),TRUE,IF($U49,TRUE,COUNTIF($C$32:$C48,AN49)&lt;IF(AND($B$3="Stage 2",$B$5=20,AN49=$E$5,$A49&lt;=IF($B$8="One Keeper",$B$5,$B$8)),2,IF(AND(OR($B$3="Stage 2",AND($B$3="Stage 3",OR($B$15="Year 10-11-12 Girls"))),AN49=$E$5,$A49&lt;=IF($B$8="One Keeper",$B$5,$B$8)),3,$B$9)))))))</f>
        <v>1</v>
      </c>
      <c r="BB49" s="20" t="b">
        <f>IF(AO49="",FALSE,AND(AO49&lt;&gt;$B49,AO49&lt;&gt;$C48,IFERROR(INDEX($E$18:$E$30,MATCH(AO49,$B$18:$B$30,0)),"No")="Yes",IF(AND(OR($B$3="Stage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Girls"))),$B$5&gt;20),MIN(3,MAX(2,Setup!$B$14)),2))*2),AO49=$E$5,IF(AND(OR($B$3="Stage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Girls"))),$B$5&gt;20),MIN(3,MAX(2,Setup!$B$14)),2))*2-1))),AO49=$E$4,TRUE)),COUNTIF($C$32:$C48,AO49)&lt;$B$6,IF($BI49,COUNTIF($C$32:$C48,AO49)&lt;IF($B$3="Stage 1",MIN($B$6,MAX(1,INT($B$5/$B$11))),IF(AND($B$3="Stage 3",$B$5=20,$B$11&gt;11),1,IF(AND($B$3="Stage 3",OR($B$15="Year 10-11-12 Girls"),$B$5&gt;20),MAX(2,Setup!$B$14),Setup!$B$14))),IF(AND($B$3&lt;&gt;"Stage 2",$B$3&lt;&gt;"Stage 3"),TRUE,IF($U49,TRUE,COUNTIF($C$32:$C48,AO49)&lt;IF(AND($B$3="Stage 2",$B$5=20,AO49=$E$5,$A49&lt;=IF($B$8="One Keeper",$B$5,$B$8)),2,IF(AND(OR($B$3="Stage 2",AND($B$3="Stage 3",OR($B$15="Year 10-11-12 Girls"))),AO49=$E$5,$A49&lt;=IF($B$8="One Keeper",$B$5,$B$8)),3,$B$9)))))))</f>
        <v>0</v>
      </c>
      <c r="BC49" s="20" t="b">
        <f>IF(AP49="",FALSE,AND(AP49&lt;&gt;$B49,AP49&lt;&gt;$C48,IFERROR(INDEX($E$18:$E$30,MATCH(AP49,$B$18:$B$30,0)),"No")="Yes",IF(AND(OR($B$3="Stage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Girls"))),$B$5&gt;20),MIN(3,MAX(2,Setup!$B$14)),2))*2),AP49=$E$5,IF(AND(OR($B$3="Stage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Girls"))),$B$5&gt;20),MIN(3,MAX(2,Setup!$B$14)),2))*2-1))),AP49=$E$4,TRUE)),COUNTIF($C$32:$C48,AP49)&lt;$B$6,IF($BI49,COUNTIF($C$32:$C48,AP49)&lt;IF($B$3="Stage 1",MIN($B$6,MAX(1,INT($B$5/$B$11))),IF(AND($B$3="Stage 3",$B$5=20,$B$11&gt;11),1,IF(AND($B$3="Stage 3",OR($B$15="Year 10-11-12 Girls"),$B$5&gt;20),MAX(2,Setup!$B$14),Setup!$B$14))),IF(AND($B$3&lt;&gt;"Stage 2",$B$3&lt;&gt;"Stage 3"),TRUE,IF($U49,TRUE,COUNTIF($C$32:$C48,AP49)&lt;IF(AND($B$3="Stage 2",$B$5=20,AP49=$E$5,$A49&lt;=IF($B$8="One Keeper",$B$5,$B$8)),2,IF(AND(OR($B$3="Stage 2",AND($B$3="Stage 3",OR($B$15="Year 10-11-12 Girls"))),AP49=$E$5,$A49&lt;=IF($B$8="One Keeper",$B$5,$B$8)),3,$B$9)))))))</f>
        <v>1</v>
      </c>
      <c r="BD49" s="20" t="b">
        <f>IF(AQ49="",FALSE,AND(AQ49&lt;&gt;$B49,AQ49&lt;&gt;$C48,IFERROR(INDEX($E$18:$E$30,MATCH(AQ49,$B$18:$B$30,0)),"No")="Yes",IF(AND(OR($B$3="Stage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Girls"))),$B$5&gt;20),MIN(3,MAX(2,Setup!$B$14)),2))*2),AQ49=$E$5,IF(AND(OR($B$3="Stage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Girls"))),$B$5&gt;20),MIN(3,MAX(2,Setup!$B$14)),2))*2-1))),AQ49=$E$4,TRUE)),COUNTIF($C$32:$C48,AQ49)&lt;$B$6,IF($BI49,COUNTIF($C$32:$C48,AQ49)&lt;IF($B$3="Stage 1",MIN($B$6,MAX(1,INT($B$5/$B$11))),IF(AND($B$3="Stage 3",$B$5=20,$B$11&gt;11),1,IF(AND($B$3="Stage 3",OR($B$15="Year 10-11-12 Girls"),$B$5&gt;20),MAX(2,Setup!$B$14),Setup!$B$14))),IF(AND($B$3&lt;&gt;"Stage 2",$B$3&lt;&gt;"Stage 3"),TRUE,IF($U49,TRUE,COUNTIF($C$32:$C48,AQ49)&lt;IF(AND($B$3="Stage 2",$B$5=20,AQ49=$E$5,$A49&lt;=IF($B$8="One Keeper",$B$5,$B$8)),2,IF(AND(OR($B$3="Stage 2",AND($B$3="Stage 3",OR($B$15="Year 10-11-12 Girls"))),AQ49=$E$5,$A49&lt;=IF($B$8="One Keeper",$B$5,$B$8)),3,$B$9)))))))</f>
        <v>1</v>
      </c>
      <c r="BE49" s="20" t="b">
        <f>IF(AR49="",FALSE,AND(AR49&lt;&gt;$B49,AR49&lt;&gt;$C48,IFERROR(INDEX($E$18:$E$30,MATCH(AR49,$B$18:$B$30,0)),"No")="Yes",IF(AND(OR($B$3="Stage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Girls"))),$B$5&gt;20),MIN(3,MAX(2,Setup!$B$14)),2))*2),AR49=$E$5,IF(AND(OR($B$3="Stage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Girls"))),$B$5&gt;20),MIN(3,MAX(2,Setup!$B$14)),2))*2-1))),AR49=$E$4,TRUE)),COUNTIF($C$32:$C48,AR49)&lt;$B$6,IF($BI49,COUNTIF($C$32:$C48,AR49)&lt;IF($B$3="Stage 1",MIN($B$6,MAX(1,INT($B$5/$B$11))),IF(AND($B$3="Stage 3",$B$5=20,$B$11&gt;11),1,IF(AND($B$3="Stage 3",OR($B$15="Year 10-11-12 Girls"),$B$5&gt;20),MAX(2,Setup!$B$14),Setup!$B$14))),IF(AND($B$3&lt;&gt;"Stage 2",$B$3&lt;&gt;"Stage 3"),TRUE,IF($U49,TRUE,COUNTIF($C$32:$C48,AR49)&lt;IF(AND($B$3="Stage 2",$B$5=20,AR49=$E$5,$A49&lt;=IF($B$8="One Keeper",$B$5,$B$8)),2,IF(AND(OR($B$3="Stage 2",AND($B$3="Stage 3",OR($B$15="Year 10-11-12 Girls"))),AR49=$E$5,$A49&lt;=IF($B$8="One Keeper",$B$5,$B$8)),3,$B$9)))))))</f>
        <v>1</v>
      </c>
      <c r="BF49" s="20" t="b">
        <f>IF(AS49="",FALSE,AND(AS49&lt;&gt;$B49,AS49&lt;&gt;$C48,IFERROR(INDEX($E$18:$E$30,MATCH(AS49,$B$18:$B$30,0)),"No")="Yes",IF(AND(OR($B$3="Stage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Girls"))),$B$5&gt;20),MIN(3,MAX(2,Setup!$B$14)),2))*2),AS49=$E$5,IF(AND(OR($B$3="Stage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Girls"))),$B$5&gt;20),MIN(3,MAX(2,Setup!$B$14)),2))*2-1))),AS49=$E$4,TRUE)),COUNTIF($C$32:$C48,AS49)&lt;$B$6,IF($BI49,COUNTIF($C$32:$C48,AS49)&lt;IF($B$3="Stage 1",MIN($B$6,MAX(1,INT($B$5/$B$11))),IF(AND($B$3="Stage 3",$B$5=20,$B$11&gt;11),1,IF(AND($B$3="Stage 3",OR($B$15="Year 10-11-12 Girls"),$B$5&gt;20),MAX(2,Setup!$B$14),Setup!$B$14))),IF(AND($B$3&lt;&gt;"Stage 2",$B$3&lt;&gt;"Stage 3"),TRUE,IF($U49,TRUE,COUNTIF($C$32:$C48,AS49)&lt;IF(AND($B$3="Stage 2",$B$5=20,AS49=$E$5,$A49&lt;=IF($B$8="One Keeper",$B$5,$B$8)),2,IF(AND(OR($B$3="Stage 2",AND($B$3="Stage 3",OR($B$15="Year 10-11-12 Girls"))),AS49=$E$5,$A49&lt;=IF($B$8="One Keeper",$B$5,$B$8)),3,$B$9)))))))</f>
        <v>0</v>
      </c>
      <c r="BG49" s="20" t="b">
        <f>IF(AT49="",FALSE,AND(AT49&lt;&gt;$B49,AT49&lt;&gt;$C48,IFERROR(INDEX($E$18:$E$30,MATCH(AT49,$B$18:$B$30,0)),"No")="Yes",IF(AND(OR($B$3="Stage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Girls"))),$B$5&gt;20),MIN(3,MAX(2,Setup!$B$14)),2))*2),AT49=$E$5,IF(AND(OR($B$3="Stage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Girls"))),$B$5&gt;20),MIN(3,MAX(2,Setup!$B$14)),2))*2-1))),AT49=$E$4,TRUE)),COUNTIF($C$32:$C48,AT49)&lt;$B$6,IF($BI49,COUNTIF($C$32:$C48,AT49)&lt;IF($B$3="Stage 1",MIN($B$6,MAX(1,INT($B$5/$B$11))),IF(AND($B$3="Stage 3",$B$5=20,$B$11&gt;11),1,IF(AND($B$3="Stage 3",OR($B$15="Year 10-11-12 Girls"),$B$5&gt;20),MAX(2,Setup!$B$14),Setup!$B$14))),IF(AND($B$3&lt;&gt;"Stage 2",$B$3&lt;&gt;"Stage 3"),TRUE,IF($U49,TRUE,COUNTIF($C$32:$C48,AT49)&lt;IF(AND($B$3="Stage 2",$B$5=20,AT49=$E$5,$A49&lt;=IF($B$8="One Keeper",$B$5,$B$8)),2,IF(AND(OR($B$3="Stage 2",AND($B$3="Stage 3",OR($B$15="Year 10-11-12 Girls"))),AT49=$E$5,$A49&lt;=IF($B$8="One Keeper",$B$5,$B$8)),3,$B$9)))))))</f>
        <v>1</v>
      </c>
      <c r="BH49" s="20" t="b">
        <f>IF(AU49="",FALSE,AND(AU49&lt;&gt;$B49,AU49&lt;&gt;$C48,IFERROR(INDEX($E$18:$E$30,MATCH(AU49,$B$18:$B$30,0)),"No")="Yes",IF(AND(OR($B$3="Stage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Girls"))),$B$5&gt;20),MIN(3,MAX(2,Setup!$B$14)),2))*2),AU49=$E$5,IF(AND(OR($B$3="Stage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Girls"))),$B$5&gt;20),MIN(3,MAX(2,Setup!$B$14)),2))*2-1))),AU49=$E$4,TRUE)),COUNTIF($C$32:$C48,AU49)&lt;$B$6,IF($BI49,COUNTIF($C$32:$C48,AU49)&lt;IF($B$3="Stage 1",MIN($B$6,MAX(1,INT($B$5/$B$11))),IF(AND($B$3="Stage 3",$B$5=20,$B$11&gt;11),1,IF(AND($B$3="Stage 3",OR($B$15="Year 10-11-12 Girls"),$B$5&gt;20),MAX(2,Setup!$B$14),Setup!$B$14))),IF(AND($B$3&lt;&gt;"Stage 2",$B$3&lt;&gt;"Stage 3"),TRUE,IF($U49,TRUE,COUNTIF($C$32:$C48,AU49)&lt;IF(AND($B$3="Stage 2",$B$5=20,AU49=$E$5,$A49&lt;=IF($B$8="One Keeper",$B$5,$B$8)),2,IF(AND(OR($B$3="Stage 2",AND($B$3="Stage 3",OR($B$15="Year 10-11-12 Girls"))),AU49=$E$5,$A49&lt;=IF($B$8="One Keeper",$B$5,$B$8)),3,$B$9)))))))</f>
        <v>1</v>
      </c>
      <c r="BI49"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Keeper",$E$4&lt;&gt;$E$5,$A49&lt;=IF($B$8="One Keeper",$B$5,$B$8),COUNTIF($C$32:$C48,$E$5)&lt;IF(AND($B$3="Stage 3",$B$5=20,$B$11&gt;11),1,IF(AND(OR($B$3="Stage 2",AND($B$3="Stage 3",OR($B$15="Year 10-11-12 Girls"))),$B$5&gt;20),MIN(3,MAX(2,Setup!$B$14)),2)),IFERROR(INDEX($E$18:$E$30,MATCH($E$5,$B$18:$B$30,0)),"No")="Yes",$C48&lt;&gt;$E$5,MOD($A49,2)=0,$A49&lt;=IF(AND($B$3="Stage 3",$B$5=20,$B$11&gt;11),1,IF(AND(OR($B$3="Stage 2",AND($B$3="Stage 3",OR($B$15="Year 10-11-12 Girls"))),$B$5&gt;20),MIN(3,MAX(2,Setup!$B$14)),2))*2),AND(OR($B$3="Stage 1",$B$3="Stage 2",AND($B$3="Stage 3",OR(OR($B$15="Year 10-11-12 Girls"),OR($B$15="Year 8 Boys",$B$15="Year 9 Boys",$B$15="Year 10-11 Boys")))),$B$8&lt;&gt;"One Keeper",$E$4&lt;&gt;$E$5,$A49&gt;IF($B$8="One Keeper",$B$5,$B$8),COUNTIF($C$32:$C48,$E$4)&lt;IF(AND($B$3="Stage 3",$B$5=20,$B$11&gt;11),1,IF(AND(OR($B$3="Stage 2",AND($B$3="Stage 3",OR($B$15="Year 10-11-12 Girls"))),$B$5&gt;20),MIN(3,MAX(2,Setup!$B$14)),2)),IFERROR(INDEX($E$18:$E$30,MATCH($E$4,$B$18:$B$30,0)),"No")="Yes",$C48&lt;&gt;$E$4,IF($B$7="Three-over spell",AND(MOD($A49-IF($B$8="One Keeper",$B$5,$B$8)-1,3)=0,($A49-IF($B$8="One Keeper",$B$5,$B$8))&lt;=1+(IF(AND($B$3="Stage 3",$B$5=20,$B$11&gt;11),1,IF(AND(OR($B$3="Stage 2",AND($B$3="Stage 3",OR($B$15="Year 10-11-12 Girls"))),$B$5&gt;20),MIN(3,MAX(2,Setup!$B$14)),2))-1)*3),AND(MOD($A49-IF($B$8="One Keeper",$B$5,$B$8),2)=1,($A49-IF($B$8="One Keeper",$B$5,$B$8))&lt;=IF(AND($B$3="Stage 3",$B$5=20,$B$11&gt;11),1,IF(AND(OR($B$3="Stage 2",AND($B$3="Stage 3",OR($B$15="Year 10-11-12 Girls"))),$B$5&gt;20),MIN(3,MAX(2,Setup!$B$14)),2))*2-1))))),OR($U49,AND($B$3="Stage 3",$B$5=20,$B$11&gt;11)),OR($BJ49,$BK49,$BL49,$BM49,$BN49,$BO49,$BP49,$BQ49,$BR49,$BS49,$BT49,$BU49,$BV49))</f>
        <v>0</v>
      </c>
      <c r="BJ49" s="20" t="b">
        <f>IF(AI49="",FALSE,AND(AI49&lt;&gt;IF(AND($B$3="Stage 3",OR($B$15="Year 8 Boys",$B$15="Year 9 Boys",$B$15="Year 10-11 Boys"),$B$8="One Keeper"),$E$4,""),AI49&lt;&gt;$B49,AI49&lt;&gt;$C48,IFERROR(INDEX($E$18:$E$30,MATCH(AI49,$B$18:$B$30,0)),"No")="Yes",COUNTIF($C$32:$C48,AI49)&lt;$B$6,COUNTIF($C$32:$C48,AI49)&lt;IF($B$3="Stage 1",MIN($B$6,MAX(1,INT($B$5/$B$11))),IF(AND($B$3="Stage 3",$B$5=20,$B$11&gt;11),1,IF(AND($B$3="Stage 3",OR($B$15="Year 10-11-12 Girls"),$B$5&gt;20),MAX(2,Setup!$B$14),Setup!$B$14)))))</f>
        <v>0</v>
      </c>
      <c r="BK49" s="20" t="b">
        <f>IF(AJ49="",FALSE,AND(AJ49&lt;&gt;IF(AND($B$3="Stage 3",OR($B$15="Year 8 Boys",$B$15="Year 9 Boys",$B$15="Year 10-11 Boys"),$B$8="One Keeper"),$E$4,""),AJ49&lt;&gt;$B49,AJ49&lt;&gt;$C48,IFERROR(INDEX($E$18:$E$30,MATCH(AJ49,$B$18:$B$30,0)),"No")="Yes",COUNTIF($C$32:$C48,AJ49)&lt;$B$6,COUNTIF($C$32:$C48,AJ49)&lt;IF($B$3="Stage 1",MIN($B$6,MAX(1,INT($B$5/$B$11))),IF(AND($B$3="Stage 3",$B$5=20,$B$11&gt;11),1,IF(AND($B$3="Stage 3",OR($B$15="Year 10-11-12 Girls"),$B$5&gt;20),MAX(2,Setup!$B$14),Setup!$B$14)))))</f>
        <v>0</v>
      </c>
      <c r="BL49" s="20" t="b">
        <f>IF(AK49="",FALSE,AND(AK49&lt;&gt;IF(AND($B$3="Stage 3",OR($B$15="Year 8 Boys",$B$15="Year 9 Boys",$B$15="Year 10-11 Boys"),$B$8="One Keeper"),$E$4,""),AK49&lt;&gt;$B49,AK49&lt;&gt;$C48,IFERROR(INDEX($E$18:$E$30,MATCH(AK49,$B$18:$B$30,0)),"No")="Yes",COUNTIF($C$32:$C48,AK49)&lt;$B$6,COUNTIF($C$32:$C48,AK49)&lt;IF($B$3="Stage 1",MIN($B$6,MAX(1,INT($B$5/$B$11))),IF(AND($B$3="Stage 3",$B$5=20,$B$11&gt;11),1,IF(AND($B$3="Stage 3",OR($B$15="Year 10-11-12 Girls"),$B$5&gt;20),MAX(2,Setup!$B$14),Setup!$B$14)))))</f>
        <v>0</v>
      </c>
      <c r="BM49" s="20" t="b">
        <f>IF(AL49="",FALSE,AND(AL49&lt;&gt;IF(AND($B$3="Stage 3",OR($B$15="Year 8 Boys",$B$15="Year 9 Boys",$B$15="Year 10-11 Boys"),$B$8="One Keeper"),$E$4,""),AL49&lt;&gt;$B49,AL49&lt;&gt;$C48,IFERROR(INDEX($E$18:$E$30,MATCH(AL49,$B$18:$B$30,0)),"No")="Yes",COUNTIF($C$32:$C48,AL49)&lt;$B$6,COUNTIF($C$32:$C48,AL49)&lt;IF($B$3="Stage 1",MIN($B$6,MAX(1,INT($B$5/$B$11))),IF(AND($B$3="Stage 3",$B$5=20,$B$11&gt;11),1,IF(AND($B$3="Stage 3",OR($B$15="Year 10-11-12 Girls"),$B$5&gt;20),MAX(2,Setup!$B$14),Setup!$B$14)))))</f>
        <v>0</v>
      </c>
      <c r="BN49" s="20" t="b">
        <f>IF(AM49="",FALSE,AND(AM49&lt;&gt;IF(AND($B$3="Stage 3",OR($B$15="Year 8 Boys",$B$15="Year 9 Boys",$B$15="Year 10-11 Boys"),$B$8="One Keeper"),$E$4,""),AM49&lt;&gt;$B49,AM49&lt;&gt;$C48,IFERROR(INDEX($E$18:$E$30,MATCH(AM49,$B$18:$B$30,0)),"No")="Yes",COUNTIF($C$32:$C48,AM49)&lt;$B$6,COUNTIF($C$32:$C48,AM49)&lt;IF($B$3="Stage 1",MIN($B$6,MAX(1,INT($B$5/$B$11))),IF(AND($B$3="Stage 3",$B$5=20,$B$11&gt;11),1,IF(AND($B$3="Stage 3",OR($B$15="Year 10-11-12 Girls"),$B$5&gt;20),MAX(2,Setup!$B$14),Setup!$B$14)))))</f>
        <v>0</v>
      </c>
      <c r="BO49" s="20" t="b">
        <f>IF(AN49="",FALSE,AND(AN49&lt;&gt;IF(AND($B$3="Stage 3",OR($B$15="Year 8 Boys",$B$15="Year 9 Boys",$B$15="Year 10-11 Boys"),$B$8="One Keeper"),$E$4,""),AN49&lt;&gt;$B49,AN49&lt;&gt;$C48,IFERROR(INDEX($E$18:$E$30,MATCH(AN49,$B$18:$B$30,0)),"No")="Yes",COUNTIF($C$32:$C48,AN49)&lt;$B$6,COUNTIF($C$32:$C48,AN49)&lt;IF($B$3="Stage 1",MIN($B$6,MAX(1,INT($B$5/$B$11))),IF(AND($B$3="Stage 3",$B$5=20,$B$11&gt;11),1,IF(AND($B$3="Stage 3",OR($B$15="Year 10-11-12 Girls"),$B$5&gt;20),MAX(2,Setup!$B$14),Setup!$B$14)))))</f>
        <v>0</v>
      </c>
      <c r="BP49" s="20" t="b">
        <f>IF(AO49="",FALSE,AND(AO49&lt;&gt;IF(AND($B$3="Stage 3",OR($B$15="Year 8 Boys",$B$15="Year 9 Boys",$B$15="Year 10-11 Boys"),$B$8="One Keeper"),$E$4,""),AO49&lt;&gt;$B49,AO49&lt;&gt;$C48,IFERROR(INDEX($E$18:$E$30,MATCH(AO49,$B$18:$B$30,0)),"No")="Yes",COUNTIF($C$32:$C48,AO49)&lt;$B$6,COUNTIF($C$32:$C48,AO49)&lt;IF($B$3="Stage 1",MIN($B$6,MAX(1,INT($B$5/$B$11))),IF(AND($B$3="Stage 3",$B$5=20,$B$11&gt;11),1,IF(AND($B$3="Stage 3",OR($B$15="Year 10-11-12 Girls"),$B$5&gt;20),MAX(2,Setup!$B$14),Setup!$B$14)))))</f>
        <v>0</v>
      </c>
      <c r="BQ49" s="20" t="b">
        <f>IF(AP49="",FALSE,AND(AP49&lt;&gt;IF(AND($B$3="Stage 3",OR($B$15="Year 8 Boys",$B$15="Year 9 Boys",$B$15="Year 10-11 Boys"),$B$8="One Keeper"),$E$4,""),AP49&lt;&gt;$B49,AP49&lt;&gt;$C48,IFERROR(INDEX($E$18:$E$30,MATCH(AP49,$B$18:$B$30,0)),"No")="Yes",COUNTIF($C$32:$C48,AP49)&lt;$B$6,COUNTIF($C$32:$C48,AP49)&lt;IF($B$3="Stage 1",MIN($B$6,MAX(1,INT($B$5/$B$11))),IF(AND($B$3="Stage 3",$B$5=20,$B$11&gt;11),1,IF(AND($B$3="Stage 3",OR($B$15="Year 10-11-12 Girls"),$B$5&gt;20),MAX(2,Setup!$B$14),Setup!$B$14)))))</f>
        <v>0</v>
      </c>
      <c r="BR49" s="20" t="b">
        <f>IF(AQ49="",FALSE,AND(AQ49&lt;&gt;IF(AND($B$3="Stage 3",OR($B$15="Year 8 Boys",$B$15="Year 9 Boys",$B$15="Year 10-11 Boys"),$B$8="One Keeper"),$E$4,""),AQ49&lt;&gt;$B49,AQ49&lt;&gt;$C48,IFERROR(INDEX($E$18:$E$30,MATCH(AQ49,$B$18:$B$30,0)),"No")="Yes",COUNTIF($C$32:$C48,AQ49)&lt;$B$6,COUNTIF($C$32:$C48,AQ49)&lt;IF($B$3="Stage 1",MIN($B$6,MAX(1,INT($B$5/$B$11))),IF(AND($B$3="Stage 3",$B$5=20,$B$11&gt;11),1,IF(AND($B$3="Stage 3",OR($B$15="Year 10-11-12 Girls"),$B$5&gt;20),MAX(2,Setup!$B$14),Setup!$B$14)))))</f>
        <v>0</v>
      </c>
      <c r="BS49" s="20" t="b">
        <f>IF(AR49="",FALSE,AND(AR49&lt;&gt;IF(AND($B$3="Stage 3",OR($B$15="Year 8 Boys",$B$15="Year 9 Boys",$B$15="Year 10-11 Boys"),$B$8="One Keeper"),$E$4,""),AR49&lt;&gt;$B49,AR49&lt;&gt;$C48,IFERROR(INDEX($E$18:$E$30,MATCH(AR49,$B$18:$B$30,0)),"No")="Yes",COUNTIF($C$32:$C48,AR49)&lt;$B$6,COUNTIF($C$32:$C48,AR49)&lt;IF($B$3="Stage 1",MIN($B$6,MAX(1,INT($B$5/$B$11))),IF(AND($B$3="Stage 3",$B$5=20,$B$11&gt;11),1,IF(AND($B$3="Stage 3",OR($B$15="Year 10-11-12 Girls"),$B$5&gt;20),MAX(2,Setup!$B$14),Setup!$B$14)))))</f>
        <v>0</v>
      </c>
      <c r="BT49" s="20" t="b">
        <f>IF(AS49="",FALSE,AND(AS49&lt;&gt;IF(AND($B$3="Stage 3",OR($B$15="Year 8 Boys",$B$15="Year 9 Boys",$B$15="Year 10-11 Boys"),$B$8="One Keeper"),$E$4,""),AS49&lt;&gt;$B49,AS49&lt;&gt;$C48,IFERROR(INDEX($E$18:$E$30,MATCH(AS49,$B$18:$B$30,0)),"No")="Yes",COUNTIF($C$32:$C48,AS49)&lt;$B$6,COUNTIF($C$32:$C48,AS49)&lt;IF($B$3="Stage 1",MIN($B$6,MAX(1,INT($B$5/$B$11))),IF(AND($B$3="Stage 3",$B$5=20,$B$11&gt;11),1,IF(AND($B$3="Stage 3",OR($B$15="Year 10-11-12 Girls"),$B$5&gt;20),MAX(2,Setup!$B$14),Setup!$B$14)))))</f>
        <v>0</v>
      </c>
      <c r="BU49" s="20" t="b">
        <f>IF(AT49="",FALSE,AND(AT49&lt;&gt;IF(AND($B$3="Stage 3",OR($B$15="Year 8 Boys",$B$15="Year 9 Boys",$B$15="Year 10-11 Boys"),$B$8="One Keeper"),$E$4,""),AT49&lt;&gt;$B49,AT49&lt;&gt;$C48,IFERROR(INDEX($E$18:$E$30,MATCH(AT49,$B$18:$B$30,0)),"No")="Yes",COUNTIF($C$32:$C48,AT49)&lt;$B$6,COUNTIF($C$32:$C48,AT49)&lt;IF($B$3="Stage 1",MIN($B$6,MAX(1,INT($B$5/$B$11))),IF(AND($B$3="Stage 3",$B$5=20,$B$11&gt;11),1,IF(AND($B$3="Stage 3",OR($B$15="Year 10-11-12 Girls"),$B$5&gt;20),MAX(2,Setup!$B$14),Setup!$B$14)))))</f>
        <v>0</v>
      </c>
      <c r="BV49" s="20" t="b">
        <f>IF(AU49="",FALSE,AND(AU49&lt;&gt;IF(AND($B$3="Stage 3",OR($B$15="Year 8 Boys",$B$15="Year 9 Boys",$B$15="Year 10-11 Boys"),$B$8="One Keeper"),$E$4,""),AU49&lt;&gt;$B49,AU49&lt;&gt;$C48,IFERROR(INDEX($E$18:$E$30,MATCH(AU49,$B$18:$B$30,0)),"No")="Yes",COUNTIF($C$32:$C48,AU49)&lt;$B$6,COUNTIF($C$32:$C48,AU49)&lt;IF($B$3="Stage 1",MIN($B$6,MAX(1,INT($B$5/$B$11))),IF(AND($B$3="Stage 3",$B$5=20,$B$11&gt;11),1,IF(AND($B$3="Stage 3",OR($B$15="Year 10-11-12 Girls"),$B$5&gt;20),MAX(2,Setup!$B$14),Setup!$B$14)))))</f>
        <v>0</v>
      </c>
      <c r="BW49" s="20"/>
      <c r="BX49" s="20"/>
      <c r="BY49" s="20"/>
      <c r="BZ49" s="20"/>
      <c r="CA49" s="20"/>
      <c r="CB49" s="20"/>
      <c r="CC49" s="20"/>
      <c r="CD49" s="20"/>
      <c r="CE49" s="20"/>
      <c r="CF49" s="20"/>
      <c r="CG49" s="20"/>
      <c r="CH49" s="20"/>
      <c r="CI49" s="20"/>
      <c r="CJ49" s="20"/>
      <c r="CK49" s="20"/>
    </row>
    <row r="50" spans="1:89" ht="26.4" customHeight="1">
      <c r="A50" s="18">
        <v>19</v>
      </c>
      <c r="B50" s="18" t="str">
        <f t="shared" si="5"/>
        <v>Player 2</v>
      </c>
      <c r="C50" s="18" t="str">
        <f t="shared" si="6"/>
        <v>Player 7</v>
      </c>
      <c r="D50" s="18">
        <f t="shared" si="7"/>
        <v>5</v>
      </c>
      <c r="E50" s="18">
        <f>IF($C50="","",COUNTIF($C$32:C50,$C50))</f>
        <v>3</v>
      </c>
      <c r="F50" s="18" t="str">
        <f t="shared" si="8"/>
        <v/>
      </c>
      <c r="H50" s="18" t="s">
        <v>158</v>
      </c>
      <c r="I50" s="18" t="str">
        <f>IF($B$3="Stage 2",IF(AND($B$5=20,$B$11=11),IF(AND(COUNTIF($I$32:$I$44,"&gt;=2")&gt;=9,COUNTIF($I$32:$I$44,"&gt;=1")=11),"OK","Needs 9 players on 2+ overs and all on 1+"),"Not applicable"),IF($B$3="Stage 3",IF(OR($B$15="Year 8 Boys",$B$15="Year 9 Boys",$B$15="Year 10-11 Boys"),IF(COUNTIF($I$32:$I$44,"&gt;=2")&gt;=7,"OK","Needs 7 players on 2+ overs"),IF($B$5=20,IF($B$11=11,IF(AND(COUNTIF($I$32:$I$44,"&gt;=2")&gt;=9,COUNTIF($I$32:$I$44,"&gt;=1")=11),"OK","Needs 9 players on 2+ overs and all on 1+"),IF($B$11&gt;11,IF(AND(COUNTIF($I$32:$I$44,"&gt;=1")=$B$11,COUNTIF($I$32:$I$44,"&gt;=2")&gt;=$B$5-$B$11),"OK","Needs all players 1+ and shared second overs"),IF(COUNTIF($I$32:$I$44,"&gt;=2")&gt;=$B$11,"OK","All players need 2+ overs"))),IF(COUNTIF($I$32:$I$44,"&gt;="&amp;MAX(2,Setup!$B$14))&gt;=$B$11,"OK","All players need "&amp;MAX(2,Setup!$B$14)&amp;"+ overs"))),"Not applicable"))</f>
        <v>Not applicable</v>
      </c>
      <c r="J50" s="18"/>
      <c r="K50" s="18"/>
      <c r="L50" s="18"/>
      <c r="M50" s="18"/>
      <c r="N50" s="18"/>
      <c r="T50" s="20">
        <f t="shared" si="15"/>
        <v>5</v>
      </c>
      <c r="U50" s="20" t="b">
        <f>IF(OR($B$3="Stage 2",AND($B$3="Stage 3",OR($B$15="Year 10-11-12 Girls"))),(IF(AND($P$18&lt;&gt;"",$P$18&lt;&gt;$E$4,COUNTIF($C$32:$C49,$P$18)&gt;=2),1,0)+IF(AND($P$19&lt;&gt;"",$P$19&lt;&gt;$E$4,COUNTIF($C$32:$C49,$P$19)&gt;=2),1,0)+IF(AND($P$20&lt;&gt;"",$P$20&lt;&gt;$E$4,COUNTIF($C$32:$C49,$P$20)&gt;=2),1,0)+IF(AND($P$21&lt;&gt;"",$P$21&lt;&gt;$E$4,COUNTIF($C$32:$C49,$P$21)&gt;=2),1,0)+IF(AND($P$22&lt;&gt;"",$P$22&lt;&gt;$E$4,COUNTIF($C$32:$C49,$P$22)&gt;=2),1,0)+IF(AND($P$23&lt;&gt;"",$P$23&lt;&gt;$E$4,COUNTIF($C$32:$C49,$P$23)&gt;=2),1,0)+IF(AND($P$24&lt;&gt;"",$P$24&lt;&gt;$E$4,COUNTIF($C$32:$C49,$P$24)&gt;=2),1,0)+IF(AND($P$25&lt;&gt;"",$P$25&lt;&gt;$E$4,COUNTIF($C$32:$C49,$P$25)&gt;=2),1,0)+IF(AND($P$26&lt;&gt;"",$P$26&lt;&gt;$E$4,COUNTIF($C$32:$C49,$P$26)&gt;=2),1,0)+IF(AND($P$27&lt;&gt;"",$P$27&lt;&gt;$E$4,COUNTIF($C$32:$C49,$P$27)&gt;=2),1,0)+IF(AND($P$28&lt;&gt;"",$P$28&lt;&gt;$E$4,COUNTIF($C$32:$C49,$P$28)&gt;=2),1,0)+IF(AND($P$29&lt;&gt;"",$P$29&lt;&gt;$E$4,COUNTIF($C$32:$C49,$P$29)&gt;=2),1,0)+IF(AND($P$30&lt;&gt;"",$P$30&lt;&gt;$E$4,COUNTIF($C$32:$C49,$P$30)&gt;=2),1,0))&gt;=MAX(0,$B$11-1),IF(AND($B$3="Stage 3",OR($B$15="Year 8 Boys",$B$15="Year 9 Boys",$B$15="Year 10-11 Boys")),(IF(AND($P$18&lt;&gt;"",COUNTIF($C$32:$C49,$P$18)&gt;=2),1,0)+IF(AND($P$19&lt;&gt;"",COUNTIF($C$32:$C49,$P$19)&gt;=2),1,0)+IF(AND($P$20&lt;&gt;"",COUNTIF($C$32:$C49,$P$20)&gt;=2),1,0)+IF(AND($P$21&lt;&gt;"",COUNTIF($C$32:$C49,$P$21)&gt;=2),1,0)+IF(AND($P$22&lt;&gt;"",COUNTIF($C$32:$C49,$P$22)&gt;=2),1,0)+IF(AND($P$23&lt;&gt;"",COUNTIF($C$32:$C49,$P$23)&gt;=2),1,0)+IF(AND($P$24&lt;&gt;"",COUNTIF($C$32:$C49,$P$24)&gt;=2),1,0)+IF(AND($P$25&lt;&gt;"",COUNTIF($C$32:$C49,$P$25)&gt;=2),1,0)+IF(AND($P$26&lt;&gt;"",COUNTIF($C$32:$C49,$P$26)&gt;=2),1,0)+IF(AND($P$27&lt;&gt;"",COUNTIF($C$32:$C49,$P$27)&gt;=2),1,0)+IF(AND($P$28&lt;&gt;"",COUNTIF($C$32:$C49,$P$28)&gt;=2),1,0)+IF(AND($P$29&lt;&gt;"",COUNTIF($C$32:$C49,$P$29)&gt;=2),1,0)+IF(AND($P$30&lt;&gt;"",COUNTIF($C$32:$C49,$P$30)&gt;=2),1,0))&gt;=7,TRUE))</f>
        <v>1</v>
      </c>
      <c r="V50" s="20">
        <f t="shared" si="30"/>
        <v>5</v>
      </c>
      <c r="W50" s="20">
        <f t="shared" si="30"/>
        <v>6</v>
      </c>
      <c r="X50" s="20">
        <f t="shared" si="30"/>
        <v>7</v>
      </c>
      <c r="Y50" s="20">
        <f t="shared" si="30"/>
        <v>1</v>
      </c>
      <c r="Z50" s="20">
        <f t="shared" si="30"/>
        <v>2</v>
      </c>
      <c r="AA50" s="20">
        <f t="shared" si="30"/>
        <v>3</v>
      </c>
      <c r="AB50" s="20">
        <f t="shared" si="30"/>
        <v>4</v>
      </c>
      <c r="AC50" s="20">
        <f t="shared" si="30"/>
        <v>5</v>
      </c>
      <c r="AD50" s="20">
        <f t="shared" si="30"/>
        <v>6</v>
      </c>
      <c r="AE50" s="20">
        <f t="shared" si="30"/>
        <v>7</v>
      </c>
      <c r="AF50" s="20">
        <f t="shared" si="30"/>
        <v>1</v>
      </c>
      <c r="AG50" s="20">
        <f t="shared" si="30"/>
        <v>2</v>
      </c>
      <c r="AH50" s="20">
        <f t="shared" si="30"/>
        <v>3</v>
      </c>
      <c r="AI50" s="20" t="str">
        <f t="shared" si="17"/>
        <v>Player 7</v>
      </c>
      <c r="AJ50" s="20" t="str">
        <f t="shared" si="18"/>
        <v>Player 1</v>
      </c>
      <c r="AK50" s="20" t="str">
        <f t="shared" si="19"/>
        <v>Player 2</v>
      </c>
      <c r="AL50" s="20" t="str">
        <f t="shared" si="20"/>
        <v>Player 3</v>
      </c>
      <c r="AM50" s="20" t="str">
        <f t="shared" si="21"/>
        <v>Player 4</v>
      </c>
      <c r="AN50" s="20" t="str">
        <f t="shared" si="22"/>
        <v>Player 5</v>
      </c>
      <c r="AO50" s="20" t="str">
        <f t="shared" si="23"/>
        <v>Player 6</v>
      </c>
      <c r="AP50" s="20" t="str">
        <f t="shared" si="24"/>
        <v>Player 7</v>
      </c>
      <c r="AQ50" s="20" t="str">
        <f t="shared" si="25"/>
        <v>Player 1</v>
      </c>
      <c r="AR50" s="20" t="str">
        <f t="shared" si="26"/>
        <v>Player 2</v>
      </c>
      <c r="AS50" s="20" t="str">
        <f t="shared" si="27"/>
        <v>Player 3</v>
      </c>
      <c r="AT50" s="20" t="str">
        <f t="shared" si="28"/>
        <v>Player 4</v>
      </c>
      <c r="AU50" s="20" t="str">
        <f t="shared" si="29"/>
        <v>Player 5</v>
      </c>
      <c r="AV50" s="20" t="b">
        <f>IF(AI50="",FALSE,AND(AI50&lt;&gt;$B50,AI50&lt;&gt;$C49,IFERROR(INDEX($E$18:$E$30,MATCH(AI50,$B$18:$B$30,0)),"No")="Yes",IF(AND(OR($B$3="Stage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Girls"))),$B$5&gt;20),MIN(3,MAX(2,Setup!$B$14)),2))*2),AI50=$E$5,IF(AND(OR($B$3="Stage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Girls"))),$B$5&gt;20),MIN(3,MAX(2,Setup!$B$14)),2))*2-1))),AI50=$E$4,TRUE)),COUNTIF($C$32:$C49,AI50)&lt;$B$6,IF($BI50,COUNTIF($C$32:$C49,AI50)&lt;IF($B$3="Stage 1",MIN($B$6,MAX(1,INT($B$5/$B$11))),IF(AND($B$3="Stage 3",$B$5=20,$B$11&gt;11),1,IF(AND($B$3="Stage 3",OR($B$15="Year 10-11-12 Girls"),$B$5&gt;20),MAX(2,Setup!$B$14),Setup!$B$14))),IF(AND($B$3&lt;&gt;"Stage 2",$B$3&lt;&gt;"Stage 3"),TRUE,IF($U50,TRUE,COUNTIF($C$32:$C49,AI50)&lt;IF(AND($B$3="Stage 2",$B$5=20,AI50=$E$5,$A50&lt;=IF($B$8="One Keeper",$B$5,$B$8)),2,IF(AND(OR($B$3="Stage 2",AND($B$3="Stage 3",OR($B$15="Year 10-11-12 Girls"))),AI50=$E$5,$A50&lt;=IF($B$8="One Keeper",$B$5,$B$8)),3,$B$9)))))))</f>
        <v>1</v>
      </c>
      <c r="AW50" s="20" t="b">
        <f>IF(AJ50="",FALSE,AND(AJ50&lt;&gt;$B50,AJ50&lt;&gt;$C49,IFERROR(INDEX($E$18:$E$30,MATCH(AJ50,$B$18:$B$30,0)),"No")="Yes",IF(AND(OR($B$3="Stage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Girls"))),$B$5&gt;20),MIN(3,MAX(2,Setup!$B$14)),2))*2),AJ50=$E$5,IF(AND(OR($B$3="Stage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Girls"))),$B$5&gt;20),MIN(3,MAX(2,Setup!$B$14)),2))*2-1))),AJ50=$E$4,TRUE)),COUNTIF($C$32:$C49,AJ50)&lt;$B$6,IF($BI50,COUNTIF($C$32:$C49,AJ50)&lt;IF($B$3="Stage 1",MIN($B$6,MAX(1,INT($B$5/$B$11))),IF(AND($B$3="Stage 3",$B$5=20,$B$11&gt;11),1,IF(AND($B$3="Stage 3",OR($B$15="Year 10-11-12 Girls"),$B$5&gt;20),MAX(2,Setup!$B$14),Setup!$B$14))),IF(AND($B$3&lt;&gt;"Stage 2",$B$3&lt;&gt;"Stage 3"),TRUE,IF($U50,TRUE,COUNTIF($C$32:$C49,AJ50)&lt;IF(AND($B$3="Stage 2",$B$5=20,AJ50=$E$5,$A50&lt;=IF($B$8="One Keeper",$B$5,$B$8)),2,IF(AND(OR($B$3="Stage 2",AND($B$3="Stage 3",OR($B$15="Year 10-11-12 Girls"))),AJ50=$E$5,$A50&lt;=IF($B$8="One Keeper",$B$5,$B$8)),3,$B$9)))))))</f>
        <v>1</v>
      </c>
      <c r="AX50" s="20" t="b">
        <f>IF(AK50="",FALSE,AND(AK50&lt;&gt;$B50,AK50&lt;&gt;$C49,IFERROR(INDEX($E$18:$E$30,MATCH(AK50,$B$18:$B$30,0)),"No")="Yes",IF(AND(OR($B$3="Stage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Girls"))),$B$5&gt;20),MIN(3,MAX(2,Setup!$B$14)),2))*2),AK50=$E$5,IF(AND(OR($B$3="Stage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Girls"))),$B$5&gt;20),MIN(3,MAX(2,Setup!$B$14)),2))*2-1))),AK50=$E$4,TRUE)),COUNTIF($C$32:$C49,AK50)&lt;$B$6,IF($BI50,COUNTIF($C$32:$C49,AK50)&lt;IF($B$3="Stage 1",MIN($B$6,MAX(1,INT($B$5/$B$11))),IF(AND($B$3="Stage 3",$B$5=20,$B$11&gt;11),1,IF(AND($B$3="Stage 3",OR($B$15="Year 10-11-12 Girls"),$B$5&gt;20),MAX(2,Setup!$B$14),Setup!$B$14))),IF(AND($B$3&lt;&gt;"Stage 2",$B$3&lt;&gt;"Stage 3"),TRUE,IF($U50,TRUE,COUNTIF($C$32:$C49,AK50)&lt;IF(AND($B$3="Stage 2",$B$5=20,AK50=$E$5,$A50&lt;=IF($B$8="One Keeper",$B$5,$B$8)),2,IF(AND(OR($B$3="Stage 2",AND($B$3="Stage 3",OR($B$15="Year 10-11-12 Girls"))),AK50=$E$5,$A50&lt;=IF($B$8="One Keeper",$B$5,$B$8)),3,$B$9)))))))</f>
        <v>0</v>
      </c>
      <c r="AY50" s="20" t="b">
        <f>IF(AL50="",FALSE,AND(AL50&lt;&gt;$B50,AL50&lt;&gt;$C49,IFERROR(INDEX($E$18:$E$30,MATCH(AL50,$B$18:$B$30,0)),"No")="Yes",IF(AND(OR($B$3="Stage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Girls"))),$B$5&gt;20),MIN(3,MAX(2,Setup!$B$14)),2))*2),AL50=$E$5,IF(AND(OR($B$3="Stage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Girls"))),$B$5&gt;20),MIN(3,MAX(2,Setup!$B$14)),2))*2-1))),AL50=$E$4,TRUE)),COUNTIF($C$32:$C49,AL50)&lt;$B$6,IF($BI50,COUNTIF($C$32:$C49,AL50)&lt;IF($B$3="Stage 1",MIN($B$6,MAX(1,INT($B$5/$B$11))),IF(AND($B$3="Stage 3",$B$5=20,$B$11&gt;11),1,IF(AND($B$3="Stage 3",OR($B$15="Year 10-11-12 Girls"),$B$5&gt;20),MAX(2,Setup!$B$14),Setup!$B$14))),IF(AND($B$3&lt;&gt;"Stage 2",$B$3&lt;&gt;"Stage 3"),TRUE,IF($U50,TRUE,COUNTIF($C$32:$C49,AL50)&lt;IF(AND($B$3="Stage 2",$B$5=20,AL50=$E$5,$A50&lt;=IF($B$8="One Keeper",$B$5,$B$8)),2,IF(AND(OR($B$3="Stage 2",AND($B$3="Stage 3",OR($B$15="Year 10-11-12 Girls"))),AL50=$E$5,$A50&lt;=IF($B$8="One Keeper",$B$5,$B$8)),3,$B$9)))))))</f>
        <v>1</v>
      </c>
      <c r="AZ50" s="20" t="b">
        <f>IF(AM50="",FALSE,AND(AM50&lt;&gt;$B50,AM50&lt;&gt;$C49,IFERROR(INDEX($E$18:$E$30,MATCH(AM50,$B$18:$B$30,0)),"No")="Yes",IF(AND(OR($B$3="Stage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Girls"))),$B$5&gt;20),MIN(3,MAX(2,Setup!$B$14)),2))*2),AM50=$E$5,IF(AND(OR($B$3="Stage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Girls"))),$B$5&gt;20),MIN(3,MAX(2,Setup!$B$14)),2))*2-1))),AM50=$E$4,TRUE)),COUNTIF($C$32:$C49,AM50)&lt;$B$6,IF($BI50,COUNTIF($C$32:$C49,AM50)&lt;IF($B$3="Stage 1",MIN($B$6,MAX(1,INT($B$5/$B$11))),IF(AND($B$3="Stage 3",$B$5=20,$B$11&gt;11),1,IF(AND($B$3="Stage 3",OR($B$15="Year 10-11-12 Girls"),$B$5&gt;20),MAX(2,Setup!$B$14),Setup!$B$14))),IF(AND($B$3&lt;&gt;"Stage 2",$B$3&lt;&gt;"Stage 3"),TRUE,IF($U50,TRUE,COUNTIF($C$32:$C49,AM50)&lt;IF(AND($B$3="Stage 2",$B$5=20,AM50=$E$5,$A50&lt;=IF($B$8="One Keeper",$B$5,$B$8)),2,IF(AND(OR($B$3="Stage 2",AND($B$3="Stage 3",OR($B$15="Year 10-11-12 Girls"))),AM50=$E$5,$A50&lt;=IF($B$8="One Keeper",$B$5,$B$8)),3,$B$9)))))))</f>
        <v>1</v>
      </c>
      <c r="BA50" s="20" t="b">
        <f>IF(AN50="",FALSE,AND(AN50&lt;&gt;$B50,AN50&lt;&gt;$C49,IFERROR(INDEX($E$18:$E$30,MATCH(AN50,$B$18:$B$30,0)),"No")="Yes",IF(AND(OR($B$3="Stage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Girls"))),$B$5&gt;20),MIN(3,MAX(2,Setup!$B$14)),2))*2),AN50=$E$5,IF(AND(OR($B$3="Stage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Girls"))),$B$5&gt;20),MIN(3,MAX(2,Setup!$B$14)),2))*2-1))),AN50=$E$4,TRUE)),COUNTIF($C$32:$C49,AN50)&lt;$B$6,IF($BI50,COUNTIF($C$32:$C49,AN50)&lt;IF($B$3="Stage 1",MIN($B$6,MAX(1,INT($B$5/$B$11))),IF(AND($B$3="Stage 3",$B$5=20,$B$11&gt;11),1,IF(AND($B$3="Stage 3",OR($B$15="Year 10-11-12 Girls"),$B$5&gt;20),MAX(2,Setup!$B$14),Setup!$B$14))),IF(AND($B$3&lt;&gt;"Stage 2",$B$3&lt;&gt;"Stage 3"),TRUE,IF($U50,TRUE,COUNTIF($C$32:$C49,AN50)&lt;IF(AND($B$3="Stage 2",$B$5=20,AN50=$E$5,$A50&lt;=IF($B$8="One Keeper",$B$5,$B$8)),2,IF(AND(OR($B$3="Stage 2",AND($B$3="Stage 3",OR($B$15="Year 10-11-12 Girls"))),AN50=$E$5,$A50&lt;=IF($B$8="One Keeper",$B$5,$B$8)),3,$B$9)))))))</f>
        <v>1</v>
      </c>
      <c r="BB50" s="20" t="b">
        <f>IF(AO50="",FALSE,AND(AO50&lt;&gt;$B50,AO50&lt;&gt;$C49,IFERROR(INDEX($E$18:$E$30,MATCH(AO50,$B$18:$B$30,0)),"No")="Yes",IF(AND(OR($B$3="Stage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Girls"))),$B$5&gt;20),MIN(3,MAX(2,Setup!$B$14)),2))*2),AO50=$E$5,IF(AND(OR($B$3="Stage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Girls"))),$B$5&gt;20),MIN(3,MAX(2,Setup!$B$14)),2))*2-1))),AO50=$E$4,TRUE)),COUNTIF($C$32:$C49,AO50)&lt;$B$6,IF($BI50,COUNTIF($C$32:$C49,AO50)&lt;IF($B$3="Stage 1",MIN($B$6,MAX(1,INT($B$5/$B$11))),IF(AND($B$3="Stage 3",$B$5=20,$B$11&gt;11),1,IF(AND($B$3="Stage 3",OR($B$15="Year 10-11-12 Girls"),$B$5&gt;20),MAX(2,Setup!$B$14),Setup!$B$14))),IF(AND($B$3&lt;&gt;"Stage 2",$B$3&lt;&gt;"Stage 3"),TRUE,IF($U50,TRUE,COUNTIF($C$32:$C49,AO50)&lt;IF(AND($B$3="Stage 2",$B$5=20,AO50=$E$5,$A50&lt;=IF($B$8="One Keeper",$B$5,$B$8)),2,IF(AND(OR($B$3="Stage 2",AND($B$3="Stage 3",OR($B$15="Year 10-11-12 Girls"))),AO50=$E$5,$A50&lt;=IF($B$8="One Keeper",$B$5,$B$8)),3,$B$9)))))))</f>
        <v>0</v>
      </c>
      <c r="BC50" s="20" t="b">
        <f>IF(AP50="",FALSE,AND(AP50&lt;&gt;$B50,AP50&lt;&gt;$C49,IFERROR(INDEX($E$18:$E$30,MATCH(AP50,$B$18:$B$30,0)),"No")="Yes",IF(AND(OR($B$3="Stage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Girls"))),$B$5&gt;20),MIN(3,MAX(2,Setup!$B$14)),2))*2),AP50=$E$5,IF(AND(OR($B$3="Stage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Girls"))),$B$5&gt;20),MIN(3,MAX(2,Setup!$B$14)),2))*2-1))),AP50=$E$4,TRUE)),COUNTIF($C$32:$C49,AP50)&lt;$B$6,IF($BI50,COUNTIF($C$32:$C49,AP50)&lt;IF($B$3="Stage 1",MIN($B$6,MAX(1,INT($B$5/$B$11))),IF(AND($B$3="Stage 3",$B$5=20,$B$11&gt;11),1,IF(AND($B$3="Stage 3",OR($B$15="Year 10-11-12 Girls"),$B$5&gt;20),MAX(2,Setup!$B$14),Setup!$B$14))),IF(AND($B$3&lt;&gt;"Stage 2",$B$3&lt;&gt;"Stage 3"),TRUE,IF($U50,TRUE,COUNTIF($C$32:$C49,AP50)&lt;IF(AND($B$3="Stage 2",$B$5=20,AP50=$E$5,$A50&lt;=IF($B$8="One Keeper",$B$5,$B$8)),2,IF(AND(OR($B$3="Stage 2",AND($B$3="Stage 3",OR($B$15="Year 10-11-12 Girls"))),AP50=$E$5,$A50&lt;=IF($B$8="One Keeper",$B$5,$B$8)),3,$B$9)))))))</f>
        <v>1</v>
      </c>
      <c r="BD50" s="20" t="b">
        <f>IF(AQ50="",FALSE,AND(AQ50&lt;&gt;$B50,AQ50&lt;&gt;$C49,IFERROR(INDEX($E$18:$E$30,MATCH(AQ50,$B$18:$B$30,0)),"No")="Yes",IF(AND(OR($B$3="Stage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Girls"))),$B$5&gt;20),MIN(3,MAX(2,Setup!$B$14)),2))*2),AQ50=$E$5,IF(AND(OR($B$3="Stage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Girls"))),$B$5&gt;20),MIN(3,MAX(2,Setup!$B$14)),2))*2-1))),AQ50=$E$4,TRUE)),COUNTIF($C$32:$C49,AQ50)&lt;$B$6,IF($BI50,COUNTIF($C$32:$C49,AQ50)&lt;IF($B$3="Stage 1",MIN($B$6,MAX(1,INT($B$5/$B$11))),IF(AND($B$3="Stage 3",$B$5=20,$B$11&gt;11),1,IF(AND($B$3="Stage 3",OR($B$15="Year 10-11-12 Girls"),$B$5&gt;20),MAX(2,Setup!$B$14),Setup!$B$14))),IF(AND($B$3&lt;&gt;"Stage 2",$B$3&lt;&gt;"Stage 3"),TRUE,IF($U50,TRUE,COUNTIF($C$32:$C49,AQ50)&lt;IF(AND($B$3="Stage 2",$B$5=20,AQ50=$E$5,$A50&lt;=IF($B$8="One Keeper",$B$5,$B$8)),2,IF(AND(OR($B$3="Stage 2",AND($B$3="Stage 3",OR($B$15="Year 10-11-12 Girls"))),AQ50=$E$5,$A50&lt;=IF($B$8="One Keeper",$B$5,$B$8)),3,$B$9)))))))</f>
        <v>1</v>
      </c>
      <c r="BE50" s="20" t="b">
        <f>IF(AR50="",FALSE,AND(AR50&lt;&gt;$B50,AR50&lt;&gt;$C49,IFERROR(INDEX($E$18:$E$30,MATCH(AR50,$B$18:$B$30,0)),"No")="Yes",IF(AND(OR($B$3="Stage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Girls"))),$B$5&gt;20),MIN(3,MAX(2,Setup!$B$14)),2))*2),AR50=$E$5,IF(AND(OR($B$3="Stage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Girls"))),$B$5&gt;20),MIN(3,MAX(2,Setup!$B$14)),2))*2-1))),AR50=$E$4,TRUE)),COUNTIF($C$32:$C49,AR50)&lt;$B$6,IF($BI50,COUNTIF($C$32:$C49,AR50)&lt;IF($B$3="Stage 1",MIN($B$6,MAX(1,INT($B$5/$B$11))),IF(AND($B$3="Stage 3",$B$5=20,$B$11&gt;11),1,IF(AND($B$3="Stage 3",OR($B$15="Year 10-11-12 Girls"),$B$5&gt;20),MAX(2,Setup!$B$14),Setup!$B$14))),IF(AND($B$3&lt;&gt;"Stage 2",$B$3&lt;&gt;"Stage 3"),TRUE,IF($U50,TRUE,COUNTIF($C$32:$C49,AR50)&lt;IF(AND($B$3="Stage 2",$B$5=20,AR50=$E$5,$A50&lt;=IF($B$8="One Keeper",$B$5,$B$8)),2,IF(AND(OR($B$3="Stage 2",AND($B$3="Stage 3",OR($B$15="Year 10-11-12 Girls"))),AR50=$E$5,$A50&lt;=IF($B$8="One Keeper",$B$5,$B$8)),3,$B$9)))))))</f>
        <v>0</v>
      </c>
      <c r="BF50" s="20" t="b">
        <f>IF(AS50="",FALSE,AND(AS50&lt;&gt;$B50,AS50&lt;&gt;$C49,IFERROR(INDEX($E$18:$E$30,MATCH(AS50,$B$18:$B$30,0)),"No")="Yes",IF(AND(OR($B$3="Stage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Girls"))),$B$5&gt;20),MIN(3,MAX(2,Setup!$B$14)),2))*2),AS50=$E$5,IF(AND(OR($B$3="Stage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Girls"))),$B$5&gt;20),MIN(3,MAX(2,Setup!$B$14)),2))*2-1))),AS50=$E$4,TRUE)),COUNTIF($C$32:$C49,AS50)&lt;$B$6,IF($BI50,COUNTIF($C$32:$C49,AS50)&lt;IF($B$3="Stage 1",MIN($B$6,MAX(1,INT($B$5/$B$11))),IF(AND($B$3="Stage 3",$B$5=20,$B$11&gt;11),1,IF(AND($B$3="Stage 3",OR($B$15="Year 10-11-12 Girls"),$B$5&gt;20),MAX(2,Setup!$B$14),Setup!$B$14))),IF(AND($B$3&lt;&gt;"Stage 2",$B$3&lt;&gt;"Stage 3"),TRUE,IF($U50,TRUE,COUNTIF($C$32:$C49,AS50)&lt;IF(AND($B$3="Stage 2",$B$5=20,AS50=$E$5,$A50&lt;=IF($B$8="One Keeper",$B$5,$B$8)),2,IF(AND(OR($B$3="Stage 2",AND($B$3="Stage 3",OR($B$15="Year 10-11-12 Girls"))),AS50=$E$5,$A50&lt;=IF($B$8="One Keeper",$B$5,$B$8)),3,$B$9)))))))</f>
        <v>1</v>
      </c>
      <c r="BG50" s="20" t="b">
        <f>IF(AT50="",FALSE,AND(AT50&lt;&gt;$B50,AT50&lt;&gt;$C49,IFERROR(INDEX($E$18:$E$30,MATCH(AT50,$B$18:$B$30,0)),"No")="Yes",IF(AND(OR($B$3="Stage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Girls"))),$B$5&gt;20),MIN(3,MAX(2,Setup!$B$14)),2))*2),AT50=$E$5,IF(AND(OR($B$3="Stage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Girls"))),$B$5&gt;20),MIN(3,MAX(2,Setup!$B$14)),2))*2-1))),AT50=$E$4,TRUE)),COUNTIF($C$32:$C49,AT50)&lt;$B$6,IF($BI50,COUNTIF($C$32:$C49,AT50)&lt;IF($B$3="Stage 1",MIN($B$6,MAX(1,INT($B$5/$B$11))),IF(AND($B$3="Stage 3",$B$5=20,$B$11&gt;11),1,IF(AND($B$3="Stage 3",OR($B$15="Year 10-11-12 Girls"),$B$5&gt;20),MAX(2,Setup!$B$14),Setup!$B$14))),IF(AND($B$3&lt;&gt;"Stage 2",$B$3&lt;&gt;"Stage 3"),TRUE,IF($U50,TRUE,COUNTIF($C$32:$C49,AT50)&lt;IF(AND($B$3="Stage 2",$B$5=20,AT50=$E$5,$A50&lt;=IF($B$8="One Keeper",$B$5,$B$8)),2,IF(AND(OR($B$3="Stage 2",AND($B$3="Stage 3",OR($B$15="Year 10-11-12 Girls"))),AT50=$E$5,$A50&lt;=IF($B$8="One Keeper",$B$5,$B$8)),3,$B$9)))))))</f>
        <v>1</v>
      </c>
      <c r="BH50" s="20" t="b">
        <f>IF(AU50="",FALSE,AND(AU50&lt;&gt;$B50,AU50&lt;&gt;$C49,IFERROR(INDEX($E$18:$E$30,MATCH(AU50,$B$18:$B$30,0)),"No")="Yes",IF(AND(OR($B$3="Stage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Girls"))),$B$5&gt;20),MIN(3,MAX(2,Setup!$B$14)),2))*2),AU50=$E$5,IF(AND(OR($B$3="Stage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Girls"))),$B$5&gt;20),MIN(3,MAX(2,Setup!$B$14)),2))*2-1))),AU50=$E$4,TRUE)),COUNTIF($C$32:$C49,AU50)&lt;$B$6,IF($BI50,COUNTIF($C$32:$C49,AU50)&lt;IF($B$3="Stage 1",MIN($B$6,MAX(1,INT($B$5/$B$11))),IF(AND($B$3="Stage 3",$B$5=20,$B$11&gt;11),1,IF(AND($B$3="Stage 3",OR($B$15="Year 10-11-12 Girls"),$B$5&gt;20),MAX(2,Setup!$B$14),Setup!$B$14))),IF(AND($B$3&lt;&gt;"Stage 2",$B$3&lt;&gt;"Stage 3"),TRUE,IF($U50,TRUE,COUNTIF($C$32:$C49,AU50)&lt;IF(AND($B$3="Stage 2",$B$5=20,AU50=$E$5,$A50&lt;=IF($B$8="One Keeper",$B$5,$B$8)),2,IF(AND(OR($B$3="Stage 2",AND($B$3="Stage 3",OR($B$15="Year 10-11-12 Girls"))),AU50=$E$5,$A50&lt;=IF($B$8="One Keeper",$B$5,$B$8)),3,$B$9)))))))</f>
        <v>1</v>
      </c>
      <c r="BI50"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Keeper",$E$4&lt;&gt;$E$5,$A50&lt;=IF($B$8="One Keeper",$B$5,$B$8),COUNTIF($C$32:$C49,$E$5)&lt;IF(AND($B$3="Stage 3",$B$5=20,$B$11&gt;11),1,IF(AND(OR($B$3="Stage 2",AND($B$3="Stage 3",OR($B$15="Year 10-11-12 Girls"))),$B$5&gt;20),MIN(3,MAX(2,Setup!$B$14)),2)),IFERROR(INDEX($E$18:$E$30,MATCH($E$5,$B$18:$B$30,0)),"No")="Yes",$C49&lt;&gt;$E$5,MOD($A50,2)=0,$A50&lt;=IF(AND($B$3="Stage 3",$B$5=20,$B$11&gt;11),1,IF(AND(OR($B$3="Stage 2",AND($B$3="Stage 3",OR($B$15="Year 10-11-12 Girls"))),$B$5&gt;20),MIN(3,MAX(2,Setup!$B$14)),2))*2),AND(OR($B$3="Stage 1",$B$3="Stage 2",AND($B$3="Stage 3",OR(OR($B$15="Year 10-11-12 Girls"),OR($B$15="Year 8 Boys",$B$15="Year 9 Boys",$B$15="Year 10-11 Boys")))),$B$8&lt;&gt;"One Keeper",$E$4&lt;&gt;$E$5,$A50&gt;IF($B$8="One Keeper",$B$5,$B$8),COUNTIF($C$32:$C49,$E$4)&lt;IF(AND($B$3="Stage 3",$B$5=20,$B$11&gt;11),1,IF(AND(OR($B$3="Stage 2",AND($B$3="Stage 3",OR($B$15="Year 10-11-12 Girls"))),$B$5&gt;20),MIN(3,MAX(2,Setup!$B$14)),2)),IFERROR(INDEX($E$18:$E$30,MATCH($E$4,$B$18:$B$30,0)),"No")="Yes",$C49&lt;&gt;$E$4,IF($B$7="Three-over spell",AND(MOD($A50-IF($B$8="One Keeper",$B$5,$B$8)-1,3)=0,($A50-IF($B$8="One Keeper",$B$5,$B$8))&lt;=1+(IF(AND($B$3="Stage 3",$B$5=20,$B$11&gt;11),1,IF(AND(OR($B$3="Stage 2",AND($B$3="Stage 3",OR($B$15="Year 10-11-12 Girls"))),$B$5&gt;20),MIN(3,MAX(2,Setup!$B$14)),2))-1)*3),AND(MOD($A50-IF($B$8="One Keeper",$B$5,$B$8),2)=1,($A50-IF($B$8="One Keeper",$B$5,$B$8))&lt;=IF(AND($B$3="Stage 3",$B$5=20,$B$11&gt;11),1,IF(AND(OR($B$3="Stage 2",AND($B$3="Stage 3",OR($B$15="Year 10-11-12 Girls"))),$B$5&gt;20),MIN(3,MAX(2,Setup!$B$14)),2))*2-1))))),OR($U50,AND($B$3="Stage 3",$B$5=20,$B$11&gt;11)),OR($BJ50,$BK50,$BL50,$BM50,$BN50,$BO50,$BP50,$BQ50,$BR50,$BS50,$BT50,$BU50,$BV50))</f>
        <v>0</v>
      </c>
      <c r="BJ50" s="20" t="b">
        <f>IF(AI50="",FALSE,AND(AI50&lt;&gt;IF(AND($B$3="Stage 3",OR($B$15="Year 8 Boys",$B$15="Year 9 Boys",$B$15="Year 10-11 Boys"),$B$8="One Keeper"),$E$4,""),AI50&lt;&gt;$B50,AI50&lt;&gt;$C49,IFERROR(INDEX($E$18:$E$30,MATCH(AI50,$B$18:$B$30,0)),"No")="Yes",COUNTIF($C$32:$C49,AI50)&lt;$B$6,COUNTIF($C$32:$C49,AI50)&lt;IF($B$3="Stage 1",MIN($B$6,MAX(1,INT($B$5/$B$11))),IF(AND($B$3="Stage 3",$B$5=20,$B$11&gt;11),1,IF(AND($B$3="Stage 3",OR($B$15="Year 10-11-12 Girls"),$B$5&gt;20),MAX(2,Setup!$B$14),Setup!$B$14)))))</f>
        <v>0</v>
      </c>
      <c r="BK50" s="20" t="b">
        <f>IF(AJ50="",FALSE,AND(AJ50&lt;&gt;IF(AND($B$3="Stage 3",OR($B$15="Year 8 Boys",$B$15="Year 9 Boys",$B$15="Year 10-11 Boys"),$B$8="One Keeper"),$E$4,""),AJ50&lt;&gt;$B50,AJ50&lt;&gt;$C49,IFERROR(INDEX($E$18:$E$30,MATCH(AJ50,$B$18:$B$30,0)),"No")="Yes",COUNTIF($C$32:$C49,AJ50)&lt;$B$6,COUNTIF($C$32:$C49,AJ50)&lt;IF($B$3="Stage 1",MIN($B$6,MAX(1,INT($B$5/$B$11))),IF(AND($B$3="Stage 3",$B$5=20,$B$11&gt;11),1,IF(AND($B$3="Stage 3",OR($B$15="Year 10-11-12 Girls"),$B$5&gt;20),MAX(2,Setup!$B$14),Setup!$B$14)))))</f>
        <v>0</v>
      </c>
      <c r="BL50" s="20" t="b">
        <f>IF(AK50="",FALSE,AND(AK50&lt;&gt;IF(AND($B$3="Stage 3",OR($B$15="Year 8 Boys",$B$15="Year 9 Boys",$B$15="Year 10-11 Boys"),$B$8="One Keeper"),$E$4,""),AK50&lt;&gt;$B50,AK50&lt;&gt;$C49,IFERROR(INDEX($E$18:$E$30,MATCH(AK50,$B$18:$B$30,0)),"No")="Yes",COUNTIF($C$32:$C49,AK50)&lt;$B$6,COUNTIF($C$32:$C49,AK50)&lt;IF($B$3="Stage 1",MIN($B$6,MAX(1,INT($B$5/$B$11))),IF(AND($B$3="Stage 3",$B$5=20,$B$11&gt;11),1,IF(AND($B$3="Stage 3",OR($B$15="Year 10-11-12 Girls"),$B$5&gt;20),MAX(2,Setup!$B$14),Setup!$B$14)))))</f>
        <v>0</v>
      </c>
      <c r="BM50" s="20" t="b">
        <f>IF(AL50="",FALSE,AND(AL50&lt;&gt;IF(AND($B$3="Stage 3",OR($B$15="Year 8 Boys",$B$15="Year 9 Boys",$B$15="Year 10-11 Boys"),$B$8="One Keeper"),$E$4,""),AL50&lt;&gt;$B50,AL50&lt;&gt;$C49,IFERROR(INDEX($E$18:$E$30,MATCH(AL50,$B$18:$B$30,0)),"No")="Yes",COUNTIF($C$32:$C49,AL50)&lt;$B$6,COUNTIF($C$32:$C49,AL50)&lt;IF($B$3="Stage 1",MIN($B$6,MAX(1,INT($B$5/$B$11))),IF(AND($B$3="Stage 3",$B$5=20,$B$11&gt;11),1,IF(AND($B$3="Stage 3",OR($B$15="Year 10-11-12 Girls"),$B$5&gt;20),MAX(2,Setup!$B$14),Setup!$B$14)))))</f>
        <v>0</v>
      </c>
      <c r="BN50" s="20" t="b">
        <f>IF(AM50="",FALSE,AND(AM50&lt;&gt;IF(AND($B$3="Stage 3",OR($B$15="Year 8 Boys",$B$15="Year 9 Boys",$B$15="Year 10-11 Boys"),$B$8="One Keeper"),$E$4,""),AM50&lt;&gt;$B50,AM50&lt;&gt;$C49,IFERROR(INDEX($E$18:$E$30,MATCH(AM50,$B$18:$B$30,0)),"No")="Yes",COUNTIF($C$32:$C49,AM50)&lt;$B$6,COUNTIF($C$32:$C49,AM50)&lt;IF($B$3="Stage 1",MIN($B$6,MAX(1,INT($B$5/$B$11))),IF(AND($B$3="Stage 3",$B$5=20,$B$11&gt;11),1,IF(AND($B$3="Stage 3",OR($B$15="Year 10-11-12 Girls"),$B$5&gt;20),MAX(2,Setup!$B$14),Setup!$B$14)))))</f>
        <v>0</v>
      </c>
      <c r="BO50" s="20" t="b">
        <f>IF(AN50="",FALSE,AND(AN50&lt;&gt;IF(AND($B$3="Stage 3",OR($B$15="Year 8 Boys",$B$15="Year 9 Boys",$B$15="Year 10-11 Boys"),$B$8="One Keeper"),$E$4,""),AN50&lt;&gt;$B50,AN50&lt;&gt;$C49,IFERROR(INDEX($E$18:$E$30,MATCH(AN50,$B$18:$B$30,0)),"No")="Yes",COUNTIF($C$32:$C49,AN50)&lt;$B$6,COUNTIF($C$32:$C49,AN50)&lt;IF($B$3="Stage 1",MIN($B$6,MAX(1,INT($B$5/$B$11))),IF(AND($B$3="Stage 3",$B$5=20,$B$11&gt;11),1,IF(AND($B$3="Stage 3",OR($B$15="Year 10-11-12 Girls"),$B$5&gt;20),MAX(2,Setup!$B$14),Setup!$B$14)))))</f>
        <v>0</v>
      </c>
      <c r="BP50" s="20" t="b">
        <f>IF(AO50="",FALSE,AND(AO50&lt;&gt;IF(AND($B$3="Stage 3",OR($B$15="Year 8 Boys",$B$15="Year 9 Boys",$B$15="Year 10-11 Boys"),$B$8="One Keeper"),$E$4,""),AO50&lt;&gt;$B50,AO50&lt;&gt;$C49,IFERROR(INDEX($E$18:$E$30,MATCH(AO50,$B$18:$B$30,0)),"No")="Yes",COUNTIF($C$32:$C49,AO50)&lt;$B$6,COUNTIF($C$32:$C49,AO50)&lt;IF($B$3="Stage 1",MIN($B$6,MAX(1,INT($B$5/$B$11))),IF(AND($B$3="Stage 3",$B$5=20,$B$11&gt;11),1,IF(AND($B$3="Stage 3",OR($B$15="Year 10-11-12 Girls"),$B$5&gt;20),MAX(2,Setup!$B$14),Setup!$B$14)))))</f>
        <v>0</v>
      </c>
      <c r="BQ50" s="20" t="b">
        <f>IF(AP50="",FALSE,AND(AP50&lt;&gt;IF(AND($B$3="Stage 3",OR($B$15="Year 8 Boys",$B$15="Year 9 Boys",$B$15="Year 10-11 Boys"),$B$8="One Keeper"),$E$4,""),AP50&lt;&gt;$B50,AP50&lt;&gt;$C49,IFERROR(INDEX($E$18:$E$30,MATCH(AP50,$B$18:$B$30,0)),"No")="Yes",COUNTIF($C$32:$C49,AP50)&lt;$B$6,COUNTIF($C$32:$C49,AP50)&lt;IF($B$3="Stage 1",MIN($B$6,MAX(1,INT($B$5/$B$11))),IF(AND($B$3="Stage 3",$B$5=20,$B$11&gt;11),1,IF(AND($B$3="Stage 3",OR($B$15="Year 10-11-12 Girls"),$B$5&gt;20),MAX(2,Setup!$B$14),Setup!$B$14)))))</f>
        <v>0</v>
      </c>
      <c r="BR50" s="20" t="b">
        <f>IF(AQ50="",FALSE,AND(AQ50&lt;&gt;IF(AND($B$3="Stage 3",OR($B$15="Year 8 Boys",$B$15="Year 9 Boys",$B$15="Year 10-11 Boys"),$B$8="One Keeper"),$E$4,""),AQ50&lt;&gt;$B50,AQ50&lt;&gt;$C49,IFERROR(INDEX($E$18:$E$30,MATCH(AQ50,$B$18:$B$30,0)),"No")="Yes",COUNTIF($C$32:$C49,AQ50)&lt;$B$6,COUNTIF($C$32:$C49,AQ50)&lt;IF($B$3="Stage 1",MIN($B$6,MAX(1,INT($B$5/$B$11))),IF(AND($B$3="Stage 3",$B$5=20,$B$11&gt;11),1,IF(AND($B$3="Stage 3",OR($B$15="Year 10-11-12 Girls"),$B$5&gt;20),MAX(2,Setup!$B$14),Setup!$B$14)))))</f>
        <v>0</v>
      </c>
      <c r="BS50" s="20" t="b">
        <f>IF(AR50="",FALSE,AND(AR50&lt;&gt;IF(AND($B$3="Stage 3",OR($B$15="Year 8 Boys",$B$15="Year 9 Boys",$B$15="Year 10-11 Boys"),$B$8="One Keeper"),$E$4,""),AR50&lt;&gt;$B50,AR50&lt;&gt;$C49,IFERROR(INDEX($E$18:$E$30,MATCH(AR50,$B$18:$B$30,0)),"No")="Yes",COUNTIF($C$32:$C49,AR50)&lt;$B$6,COUNTIF($C$32:$C49,AR50)&lt;IF($B$3="Stage 1",MIN($B$6,MAX(1,INT($B$5/$B$11))),IF(AND($B$3="Stage 3",$B$5=20,$B$11&gt;11),1,IF(AND($B$3="Stage 3",OR($B$15="Year 10-11-12 Girls"),$B$5&gt;20),MAX(2,Setup!$B$14),Setup!$B$14)))))</f>
        <v>0</v>
      </c>
      <c r="BT50" s="20" t="b">
        <f>IF(AS50="",FALSE,AND(AS50&lt;&gt;IF(AND($B$3="Stage 3",OR($B$15="Year 8 Boys",$B$15="Year 9 Boys",$B$15="Year 10-11 Boys"),$B$8="One Keeper"),$E$4,""),AS50&lt;&gt;$B50,AS50&lt;&gt;$C49,IFERROR(INDEX($E$18:$E$30,MATCH(AS50,$B$18:$B$30,0)),"No")="Yes",COUNTIF($C$32:$C49,AS50)&lt;$B$6,COUNTIF($C$32:$C49,AS50)&lt;IF($B$3="Stage 1",MIN($B$6,MAX(1,INT($B$5/$B$11))),IF(AND($B$3="Stage 3",$B$5=20,$B$11&gt;11),1,IF(AND($B$3="Stage 3",OR($B$15="Year 10-11-12 Girls"),$B$5&gt;20),MAX(2,Setup!$B$14),Setup!$B$14)))))</f>
        <v>0</v>
      </c>
      <c r="BU50" s="20" t="b">
        <f>IF(AT50="",FALSE,AND(AT50&lt;&gt;IF(AND($B$3="Stage 3",OR($B$15="Year 8 Boys",$B$15="Year 9 Boys",$B$15="Year 10-11 Boys"),$B$8="One Keeper"),$E$4,""),AT50&lt;&gt;$B50,AT50&lt;&gt;$C49,IFERROR(INDEX($E$18:$E$30,MATCH(AT50,$B$18:$B$30,0)),"No")="Yes",COUNTIF($C$32:$C49,AT50)&lt;$B$6,COUNTIF($C$32:$C49,AT50)&lt;IF($B$3="Stage 1",MIN($B$6,MAX(1,INT($B$5/$B$11))),IF(AND($B$3="Stage 3",$B$5=20,$B$11&gt;11),1,IF(AND($B$3="Stage 3",OR($B$15="Year 10-11-12 Girls"),$B$5&gt;20),MAX(2,Setup!$B$14),Setup!$B$14)))))</f>
        <v>0</v>
      </c>
      <c r="BV50" s="20" t="b">
        <f>IF(AU50="",FALSE,AND(AU50&lt;&gt;IF(AND($B$3="Stage 3",OR($B$15="Year 8 Boys",$B$15="Year 9 Boys",$B$15="Year 10-11 Boys"),$B$8="One Keeper"),$E$4,""),AU50&lt;&gt;$B50,AU50&lt;&gt;$C49,IFERROR(INDEX($E$18:$E$30,MATCH(AU50,$B$18:$B$30,0)),"No")="Yes",COUNTIF($C$32:$C49,AU50)&lt;$B$6,COUNTIF($C$32:$C49,AU50)&lt;IF($B$3="Stage 1",MIN($B$6,MAX(1,INT($B$5/$B$11))),IF(AND($B$3="Stage 3",$B$5=20,$B$11&gt;11),1,IF(AND($B$3="Stage 3",OR($B$15="Year 10-11-12 Girls"),$B$5&gt;20),MAX(2,Setup!$B$14),Setup!$B$14)))))</f>
        <v>0</v>
      </c>
      <c r="BW50" s="20"/>
      <c r="BX50" s="20"/>
      <c r="BY50" s="20"/>
      <c r="BZ50" s="20"/>
      <c r="CA50" s="20"/>
      <c r="CB50" s="20"/>
      <c r="CC50" s="20"/>
      <c r="CD50" s="20"/>
      <c r="CE50" s="20"/>
      <c r="CF50" s="20"/>
      <c r="CG50" s="20"/>
      <c r="CH50" s="20"/>
      <c r="CI50" s="20"/>
      <c r="CJ50" s="20"/>
      <c r="CK50" s="20"/>
    </row>
    <row r="51" spans="1:89" ht="26.4" customHeight="1">
      <c r="A51" s="18">
        <v>20</v>
      </c>
      <c r="B51" s="18" t="str">
        <f t="shared" si="5"/>
        <v>Player 2</v>
      </c>
      <c r="C51" s="18" t="str">
        <f t="shared" si="6"/>
        <v>Player 1</v>
      </c>
      <c r="D51" s="18">
        <f t="shared" si="7"/>
        <v>6</v>
      </c>
      <c r="E51" s="18">
        <f>IF($C51="","",COUNTIF($C$32:C51,$C51))</f>
        <v>3</v>
      </c>
      <c r="F51" s="18" t="str">
        <f t="shared" si="8"/>
        <v/>
      </c>
      <c r="H51" s="18" t="s">
        <v>159</v>
      </c>
      <c r="I51" s="18" t="str">
        <f>IF(LEFT($B$16,2)="OK","OK",$B$16)</f>
        <v>OK</v>
      </c>
      <c r="J51" s="18"/>
      <c r="K51" s="18"/>
      <c r="L51" s="18"/>
      <c r="M51" s="18"/>
      <c r="N51" s="18"/>
      <c r="T51" s="20">
        <f t="shared" si="15"/>
        <v>6</v>
      </c>
      <c r="U51" s="20" t="b">
        <f>IF(OR($B$3="Stage 2",AND($B$3="Stage 3",OR($B$15="Year 10-11-12 Girls"))),(IF(AND($P$18&lt;&gt;"",$P$18&lt;&gt;$E$4,COUNTIF($C$32:$C50,$P$18)&gt;=2),1,0)+IF(AND($P$19&lt;&gt;"",$P$19&lt;&gt;$E$4,COUNTIF($C$32:$C50,$P$19)&gt;=2),1,0)+IF(AND($P$20&lt;&gt;"",$P$20&lt;&gt;$E$4,COUNTIF($C$32:$C50,$P$20)&gt;=2),1,0)+IF(AND($P$21&lt;&gt;"",$P$21&lt;&gt;$E$4,COUNTIF($C$32:$C50,$P$21)&gt;=2),1,0)+IF(AND($P$22&lt;&gt;"",$P$22&lt;&gt;$E$4,COUNTIF($C$32:$C50,$P$22)&gt;=2),1,0)+IF(AND($P$23&lt;&gt;"",$P$23&lt;&gt;$E$4,COUNTIF($C$32:$C50,$P$23)&gt;=2),1,0)+IF(AND($P$24&lt;&gt;"",$P$24&lt;&gt;$E$4,COUNTIF($C$32:$C50,$P$24)&gt;=2),1,0)+IF(AND($P$25&lt;&gt;"",$P$25&lt;&gt;$E$4,COUNTIF($C$32:$C50,$P$25)&gt;=2),1,0)+IF(AND($P$26&lt;&gt;"",$P$26&lt;&gt;$E$4,COUNTIF($C$32:$C50,$P$26)&gt;=2),1,0)+IF(AND($P$27&lt;&gt;"",$P$27&lt;&gt;$E$4,COUNTIF($C$32:$C50,$P$27)&gt;=2),1,0)+IF(AND($P$28&lt;&gt;"",$P$28&lt;&gt;$E$4,COUNTIF($C$32:$C50,$P$28)&gt;=2),1,0)+IF(AND($P$29&lt;&gt;"",$P$29&lt;&gt;$E$4,COUNTIF($C$32:$C50,$P$29)&gt;=2),1,0)+IF(AND($P$30&lt;&gt;"",$P$30&lt;&gt;$E$4,COUNTIF($C$32:$C50,$P$30)&gt;=2),1,0))&gt;=MAX(0,$B$11-1),IF(AND($B$3="Stage 3",OR($B$15="Year 8 Boys",$B$15="Year 9 Boys",$B$15="Year 10-11 Boys")),(IF(AND($P$18&lt;&gt;"",COUNTIF($C$32:$C50,$P$18)&gt;=2),1,0)+IF(AND($P$19&lt;&gt;"",COUNTIF($C$32:$C50,$P$19)&gt;=2),1,0)+IF(AND($P$20&lt;&gt;"",COUNTIF($C$32:$C50,$P$20)&gt;=2),1,0)+IF(AND($P$21&lt;&gt;"",COUNTIF($C$32:$C50,$P$21)&gt;=2),1,0)+IF(AND($P$22&lt;&gt;"",COUNTIF($C$32:$C50,$P$22)&gt;=2),1,0)+IF(AND($P$23&lt;&gt;"",COUNTIF($C$32:$C50,$P$23)&gt;=2),1,0)+IF(AND($P$24&lt;&gt;"",COUNTIF($C$32:$C50,$P$24)&gt;=2),1,0)+IF(AND($P$25&lt;&gt;"",COUNTIF($C$32:$C50,$P$25)&gt;=2),1,0)+IF(AND($P$26&lt;&gt;"",COUNTIF($C$32:$C50,$P$26)&gt;=2),1,0)+IF(AND($P$27&lt;&gt;"",COUNTIF($C$32:$C50,$P$27)&gt;=2),1,0)+IF(AND($P$28&lt;&gt;"",COUNTIF($C$32:$C50,$P$28)&gt;=2),1,0)+IF(AND($P$29&lt;&gt;"",COUNTIF($C$32:$C50,$P$29)&gt;=2),1,0)+IF(AND($P$30&lt;&gt;"",COUNTIF($C$32:$C50,$P$30)&gt;=2),1,0))&gt;=7,TRUE))</f>
        <v>1</v>
      </c>
      <c r="V51" s="20">
        <f t="shared" si="30"/>
        <v>6</v>
      </c>
      <c r="W51" s="20">
        <f t="shared" si="30"/>
        <v>7</v>
      </c>
      <c r="X51" s="20">
        <f t="shared" si="30"/>
        <v>1</v>
      </c>
      <c r="Y51" s="20">
        <f t="shared" si="30"/>
        <v>2</v>
      </c>
      <c r="Z51" s="20">
        <f t="shared" si="30"/>
        <v>3</v>
      </c>
      <c r="AA51" s="20">
        <f t="shared" si="30"/>
        <v>4</v>
      </c>
      <c r="AB51" s="20">
        <f t="shared" si="30"/>
        <v>5</v>
      </c>
      <c r="AC51" s="20">
        <f t="shared" si="30"/>
        <v>6</v>
      </c>
      <c r="AD51" s="20">
        <f t="shared" si="30"/>
        <v>7</v>
      </c>
      <c r="AE51" s="20">
        <f t="shared" si="30"/>
        <v>1</v>
      </c>
      <c r="AF51" s="20">
        <f t="shared" si="30"/>
        <v>2</v>
      </c>
      <c r="AG51" s="20">
        <f t="shared" si="30"/>
        <v>3</v>
      </c>
      <c r="AH51" s="20">
        <f t="shared" si="30"/>
        <v>4</v>
      </c>
      <c r="AI51" s="20" t="str">
        <f t="shared" si="17"/>
        <v>Player 1</v>
      </c>
      <c r="AJ51" s="20" t="str">
        <f t="shared" si="18"/>
        <v>Player 2</v>
      </c>
      <c r="AK51" s="20" t="str">
        <f t="shared" si="19"/>
        <v>Player 3</v>
      </c>
      <c r="AL51" s="20" t="str">
        <f t="shared" si="20"/>
        <v>Player 4</v>
      </c>
      <c r="AM51" s="20" t="str">
        <f t="shared" si="21"/>
        <v>Player 5</v>
      </c>
      <c r="AN51" s="20" t="str">
        <f t="shared" si="22"/>
        <v>Player 6</v>
      </c>
      <c r="AO51" s="20" t="str">
        <f t="shared" si="23"/>
        <v>Player 7</v>
      </c>
      <c r="AP51" s="20" t="str">
        <f t="shared" si="24"/>
        <v>Player 1</v>
      </c>
      <c r="AQ51" s="20" t="str">
        <f t="shared" si="25"/>
        <v>Player 2</v>
      </c>
      <c r="AR51" s="20" t="str">
        <f t="shared" si="26"/>
        <v>Player 3</v>
      </c>
      <c r="AS51" s="20" t="str">
        <f t="shared" si="27"/>
        <v>Player 4</v>
      </c>
      <c r="AT51" s="20" t="str">
        <f t="shared" si="28"/>
        <v>Player 5</v>
      </c>
      <c r="AU51" s="20" t="str">
        <f t="shared" si="29"/>
        <v>Player 6</v>
      </c>
      <c r="AV51" s="20" t="b">
        <f>IF(AI51="",FALSE,AND(AI51&lt;&gt;$B51,AI51&lt;&gt;$C50,IFERROR(INDEX($E$18:$E$30,MATCH(AI51,$B$18:$B$30,0)),"No")="Yes",IF(AND(OR($B$3="Stage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Girls"))),$B$5&gt;20),MIN(3,MAX(2,Setup!$B$14)),2))*2),AI51=$E$5,IF(AND(OR($B$3="Stage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Girls"))),$B$5&gt;20),MIN(3,MAX(2,Setup!$B$14)),2))*2-1))),AI51=$E$4,TRUE)),COUNTIF($C$32:$C50,AI51)&lt;$B$6,IF($BI51,COUNTIF($C$32:$C50,AI51)&lt;IF($B$3="Stage 1",MIN($B$6,MAX(1,INT($B$5/$B$11))),IF(AND($B$3="Stage 3",$B$5=20,$B$11&gt;11),1,IF(AND($B$3="Stage 3",OR($B$15="Year 10-11-12 Girls"),$B$5&gt;20),MAX(2,Setup!$B$14),Setup!$B$14))),IF(AND($B$3&lt;&gt;"Stage 2",$B$3&lt;&gt;"Stage 3"),TRUE,IF($U51,TRUE,COUNTIF($C$32:$C50,AI51)&lt;IF(AND($B$3="Stage 2",$B$5=20,AI51=$E$5,$A51&lt;=IF($B$8="One Keeper",$B$5,$B$8)),2,IF(AND(OR($B$3="Stage 2",AND($B$3="Stage 3",OR($B$15="Year 10-11-12 Girls"))),AI51=$E$5,$A51&lt;=IF($B$8="One Keeper",$B$5,$B$8)),3,$B$9)))))))</f>
        <v>1</v>
      </c>
      <c r="AW51" s="20" t="b">
        <f>IF(AJ51="",FALSE,AND(AJ51&lt;&gt;$B51,AJ51&lt;&gt;$C50,IFERROR(INDEX($E$18:$E$30,MATCH(AJ51,$B$18:$B$30,0)),"No")="Yes",IF(AND(OR($B$3="Stage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Girls"))),$B$5&gt;20),MIN(3,MAX(2,Setup!$B$14)),2))*2),AJ51=$E$5,IF(AND(OR($B$3="Stage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Girls"))),$B$5&gt;20),MIN(3,MAX(2,Setup!$B$14)),2))*2-1))),AJ51=$E$4,TRUE)),COUNTIF($C$32:$C50,AJ51)&lt;$B$6,IF($BI51,COUNTIF($C$32:$C50,AJ51)&lt;IF($B$3="Stage 1",MIN($B$6,MAX(1,INT($B$5/$B$11))),IF(AND($B$3="Stage 3",$B$5=20,$B$11&gt;11),1,IF(AND($B$3="Stage 3",OR($B$15="Year 10-11-12 Girls"),$B$5&gt;20),MAX(2,Setup!$B$14),Setup!$B$14))),IF(AND($B$3&lt;&gt;"Stage 2",$B$3&lt;&gt;"Stage 3"),TRUE,IF($U51,TRUE,COUNTIF($C$32:$C50,AJ51)&lt;IF(AND($B$3="Stage 2",$B$5=20,AJ51=$E$5,$A51&lt;=IF($B$8="One Keeper",$B$5,$B$8)),2,IF(AND(OR($B$3="Stage 2",AND($B$3="Stage 3",OR($B$15="Year 10-11-12 Girls"))),AJ51=$E$5,$A51&lt;=IF($B$8="One Keeper",$B$5,$B$8)),3,$B$9)))))))</f>
        <v>0</v>
      </c>
      <c r="AX51" s="20" t="b">
        <f>IF(AK51="",FALSE,AND(AK51&lt;&gt;$B51,AK51&lt;&gt;$C50,IFERROR(INDEX($E$18:$E$30,MATCH(AK51,$B$18:$B$30,0)),"No")="Yes",IF(AND(OR($B$3="Stage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Girls"))),$B$5&gt;20),MIN(3,MAX(2,Setup!$B$14)),2))*2),AK51=$E$5,IF(AND(OR($B$3="Stage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Girls"))),$B$5&gt;20),MIN(3,MAX(2,Setup!$B$14)),2))*2-1))),AK51=$E$4,TRUE)),COUNTIF($C$32:$C50,AK51)&lt;$B$6,IF($BI51,COUNTIF($C$32:$C50,AK51)&lt;IF($B$3="Stage 1",MIN($B$6,MAX(1,INT($B$5/$B$11))),IF(AND($B$3="Stage 3",$B$5=20,$B$11&gt;11),1,IF(AND($B$3="Stage 3",OR($B$15="Year 10-11-12 Girls"),$B$5&gt;20),MAX(2,Setup!$B$14),Setup!$B$14))),IF(AND($B$3&lt;&gt;"Stage 2",$B$3&lt;&gt;"Stage 3"),TRUE,IF($U51,TRUE,COUNTIF($C$32:$C50,AK51)&lt;IF(AND($B$3="Stage 2",$B$5=20,AK51=$E$5,$A51&lt;=IF($B$8="One Keeper",$B$5,$B$8)),2,IF(AND(OR($B$3="Stage 2",AND($B$3="Stage 3",OR($B$15="Year 10-11-12 Girls"))),AK51=$E$5,$A51&lt;=IF($B$8="One Keeper",$B$5,$B$8)),3,$B$9)))))))</f>
        <v>1</v>
      </c>
      <c r="AY51" s="20" t="b">
        <f>IF(AL51="",FALSE,AND(AL51&lt;&gt;$B51,AL51&lt;&gt;$C50,IFERROR(INDEX($E$18:$E$30,MATCH(AL51,$B$18:$B$30,0)),"No")="Yes",IF(AND(OR($B$3="Stage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Girls"))),$B$5&gt;20),MIN(3,MAX(2,Setup!$B$14)),2))*2),AL51=$E$5,IF(AND(OR($B$3="Stage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Girls"))),$B$5&gt;20),MIN(3,MAX(2,Setup!$B$14)),2))*2-1))),AL51=$E$4,TRUE)),COUNTIF($C$32:$C50,AL51)&lt;$B$6,IF($BI51,COUNTIF($C$32:$C50,AL51)&lt;IF($B$3="Stage 1",MIN($B$6,MAX(1,INT($B$5/$B$11))),IF(AND($B$3="Stage 3",$B$5=20,$B$11&gt;11),1,IF(AND($B$3="Stage 3",OR($B$15="Year 10-11-12 Girls"),$B$5&gt;20),MAX(2,Setup!$B$14),Setup!$B$14))),IF(AND($B$3&lt;&gt;"Stage 2",$B$3&lt;&gt;"Stage 3"),TRUE,IF($U51,TRUE,COUNTIF($C$32:$C50,AL51)&lt;IF(AND($B$3="Stage 2",$B$5=20,AL51=$E$5,$A51&lt;=IF($B$8="One Keeper",$B$5,$B$8)),2,IF(AND(OR($B$3="Stage 2",AND($B$3="Stage 3",OR($B$15="Year 10-11-12 Girls"))),AL51=$E$5,$A51&lt;=IF($B$8="One Keeper",$B$5,$B$8)),3,$B$9)))))))</f>
        <v>1</v>
      </c>
      <c r="AZ51" s="20" t="b">
        <f>IF(AM51="",FALSE,AND(AM51&lt;&gt;$B51,AM51&lt;&gt;$C50,IFERROR(INDEX($E$18:$E$30,MATCH(AM51,$B$18:$B$30,0)),"No")="Yes",IF(AND(OR($B$3="Stage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Girls"))),$B$5&gt;20),MIN(3,MAX(2,Setup!$B$14)),2))*2),AM51=$E$5,IF(AND(OR($B$3="Stage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Girls"))),$B$5&gt;20),MIN(3,MAX(2,Setup!$B$14)),2))*2-1))),AM51=$E$4,TRUE)),COUNTIF($C$32:$C50,AM51)&lt;$B$6,IF($BI51,COUNTIF($C$32:$C50,AM51)&lt;IF($B$3="Stage 1",MIN($B$6,MAX(1,INT($B$5/$B$11))),IF(AND($B$3="Stage 3",$B$5=20,$B$11&gt;11),1,IF(AND($B$3="Stage 3",OR($B$15="Year 10-11-12 Girls"),$B$5&gt;20),MAX(2,Setup!$B$14),Setup!$B$14))),IF(AND($B$3&lt;&gt;"Stage 2",$B$3&lt;&gt;"Stage 3"),TRUE,IF($U51,TRUE,COUNTIF($C$32:$C50,AM51)&lt;IF(AND($B$3="Stage 2",$B$5=20,AM51=$E$5,$A51&lt;=IF($B$8="One Keeper",$B$5,$B$8)),2,IF(AND(OR($B$3="Stage 2",AND($B$3="Stage 3",OR($B$15="Year 10-11-12 Girls"))),AM51=$E$5,$A51&lt;=IF($B$8="One Keeper",$B$5,$B$8)),3,$B$9)))))))</f>
        <v>1</v>
      </c>
      <c r="BA51" s="20" t="b">
        <f>IF(AN51="",FALSE,AND(AN51&lt;&gt;$B51,AN51&lt;&gt;$C50,IFERROR(INDEX($E$18:$E$30,MATCH(AN51,$B$18:$B$30,0)),"No")="Yes",IF(AND(OR($B$3="Stage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Girls"))),$B$5&gt;20),MIN(3,MAX(2,Setup!$B$14)),2))*2),AN51=$E$5,IF(AND(OR($B$3="Stage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Girls"))),$B$5&gt;20),MIN(3,MAX(2,Setup!$B$14)),2))*2-1))),AN51=$E$4,TRUE)),COUNTIF($C$32:$C50,AN51)&lt;$B$6,IF($BI51,COUNTIF($C$32:$C50,AN51)&lt;IF($B$3="Stage 1",MIN($B$6,MAX(1,INT($B$5/$B$11))),IF(AND($B$3="Stage 3",$B$5=20,$B$11&gt;11),1,IF(AND($B$3="Stage 3",OR($B$15="Year 10-11-12 Girls"),$B$5&gt;20),MAX(2,Setup!$B$14),Setup!$B$14))),IF(AND($B$3&lt;&gt;"Stage 2",$B$3&lt;&gt;"Stage 3"),TRUE,IF($U51,TRUE,COUNTIF($C$32:$C50,AN51)&lt;IF(AND($B$3="Stage 2",$B$5=20,AN51=$E$5,$A51&lt;=IF($B$8="One Keeper",$B$5,$B$8)),2,IF(AND(OR($B$3="Stage 2",AND($B$3="Stage 3",OR($B$15="Year 10-11-12 Girls"))),AN51=$E$5,$A51&lt;=IF($B$8="One Keeper",$B$5,$B$8)),3,$B$9)))))))</f>
        <v>1</v>
      </c>
      <c r="BB51" s="20" t="b">
        <f>IF(AO51="",FALSE,AND(AO51&lt;&gt;$B51,AO51&lt;&gt;$C50,IFERROR(INDEX($E$18:$E$30,MATCH(AO51,$B$18:$B$30,0)),"No")="Yes",IF(AND(OR($B$3="Stage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Girls"))),$B$5&gt;20),MIN(3,MAX(2,Setup!$B$14)),2))*2),AO51=$E$5,IF(AND(OR($B$3="Stage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Girls"))),$B$5&gt;20),MIN(3,MAX(2,Setup!$B$14)),2))*2-1))),AO51=$E$4,TRUE)),COUNTIF($C$32:$C50,AO51)&lt;$B$6,IF($BI51,COUNTIF($C$32:$C50,AO51)&lt;IF($B$3="Stage 1",MIN($B$6,MAX(1,INT($B$5/$B$11))),IF(AND($B$3="Stage 3",$B$5=20,$B$11&gt;11),1,IF(AND($B$3="Stage 3",OR($B$15="Year 10-11-12 Girls"),$B$5&gt;20),MAX(2,Setup!$B$14),Setup!$B$14))),IF(AND($B$3&lt;&gt;"Stage 2",$B$3&lt;&gt;"Stage 3"),TRUE,IF($U51,TRUE,COUNTIF($C$32:$C50,AO51)&lt;IF(AND($B$3="Stage 2",$B$5=20,AO51=$E$5,$A51&lt;=IF($B$8="One Keeper",$B$5,$B$8)),2,IF(AND(OR($B$3="Stage 2",AND($B$3="Stage 3",OR($B$15="Year 10-11-12 Girls"))),AO51=$E$5,$A51&lt;=IF($B$8="One Keeper",$B$5,$B$8)),3,$B$9)))))))</f>
        <v>0</v>
      </c>
      <c r="BC51" s="20" t="b">
        <f>IF(AP51="",FALSE,AND(AP51&lt;&gt;$B51,AP51&lt;&gt;$C50,IFERROR(INDEX($E$18:$E$30,MATCH(AP51,$B$18:$B$30,0)),"No")="Yes",IF(AND(OR($B$3="Stage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Girls"))),$B$5&gt;20),MIN(3,MAX(2,Setup!$B$14)),2))*2),AP51=$E$5,IF(AND(OR($B$3="Stage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Girls"))),$B$5&gt;20),MIN(3,MAX(2,Setup!$B$14)),2))*2-1))),AP51=$E$4,TRUE)),COUNTIF($C$32:$C50,AP51)&lt;$B$6,IF($BI51,COUNTIF($C$32:$C50,AP51)&lt;IF($B$3="Stage 1",MIN($B$6,MAX(1,INT($B$5/$B$11))),IF(AND($B$3="Stage 3",$B$5=20,$B$11&gt;11),1,IF(AND($B$3="Stage 3",OR($B$15="Year 10-11-12 Girls"),$B$5&gt;20),MAX(2,Setup!$B$14),Setup!$B$14))),IF(AND($B$3&lt;&gt;"Stage 2",$B$3&lt;&gt;"Stage 3"),TRUE,IF($U51,TRUE,COUNTIF($C$32:$C50,AP51)&lt;IF(AND($B$3="Stage 2",$B$5=20,AP51=$E$5,$A51&lt;=IF($B$8="One Keeper",$B$5,$B$8)),2,IF(AND(OR($B$3="Stage 2",AND($B$3="Stage 3",OR($B$15="Year 10-11-12 Girls"))),AP51=$E$5,$A51&lt;=IF($B$8="One Keeper",$B$5,$B$8)),3,$B$9)))))))</f>
        <v>1</v>
      </c>
      <c r="BD51" s="20" t="b">
        <f>IF(AQ51="",FALSE,AND(AQ51&lt;&gt;$B51,AQ51&lt;&gt;$C50,IFERROR(INDEX($E$18:$E$30,MATCH(AQ51,$B$18:$B$30,0)),"No")="Yes",IF(AND(OR($B$3="Stage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Girls"))),$B$5&gt;20),MIN(3,MAX(2,Setup!$B$14)),2))*2),AQ51=$E$5,IF(AND(OR($B$3="Stage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Girls"))),$B$5&gt;20),MIN(3,MAX(2,Setup!$B$14)),2))*2-1))),AQ51=$E$4,TRUE)),COUNTIF($C$32:$C50,AQ51)&lt;$B$6,IF($BI51,COUNTIF($C$32:$C50,AQ51)&lt;IF($B$3="Stage 1",MIN($B$6,MAX(1,INT($B$5/$B$11))),IF(AND($B$3="Stage 3",$B$5=20,$B$11&gt;11),1,IF(AND($B$3="Stage 3",OR($B$15="Year 10-11-12 Girls"),$B$5&gt;20),MAX(2,Setup!$B$14),Setup!$B$14))),IF(AND($B$3&lt;&gt;"Stage 2",$B$3&lt;&gt;"Stage 3"),TRUE,IF($U51,TRUE,COUNTIF($C$32:$C50,AQ51)&lt;IF(AND($B$3="Stage 2",$B$5=20,AQ51=$E$5,$A51&lt;=IF($B$8="One Keeper",$B$5,$B$8)),2,IF(AND(OR($B$3="Stage 2",AND($B$3="Stage 3",OR($B$15="Year 10-11-12 Girls"))),AQ51=$E$5,$A51&lt;=IF($B$8="One Keeper",$B$5,$B$8)),3,$B$9)))))))</f>
        <v>0</v>
      </c>
      <c r="BE51" s="20" t="b">
        <f>IF(AR51="",FALSE,AND(AR51&lt;&gt;$B51,AR51&lt;&gt;$C50,IFERROR(INDEX($E$18:$E$30,MATCH(AR51,$B$18:$B$30,0)),"No")="Yes",IF(AND(OR($B$3="Stage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Girls"))),$B$5&gt;20),MIN(3,MAX(2,Setup!$B$14)),2))*2),AR51=$E$5,IF(AND(OR($B$3="Stage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Girls"))),$B$5&gt;20),MIN(3,MAX(2,Setup!$B$14)),2))*2-1))),AR51=$E$4,TRUE)),COUNTIF($C$32:$C50,AR51)&lt;$B$6,IF($BI51,COUNTIF($C$32:$C50,AR51)&lt;IF($B$3="Stage 1",MIN($B$6,MAX(1,INT($B$5/$B$11))),IF(AND($B$3="Stage 3",$B$5=20,$B$11&gt;11),1,IF(AND($B$3="Stage 3",OR($B$15="Year 10-11-12 Girls"),$B$5&gt;20),MAX(2,Setup!$B$14),Setup!$B$14))),IF(AND($B$3&lt;&gt;"Stage 2",$B$3&lt;&gt;"Stage 3"),TRUE,IF($U51,TRUE,COUNTIF($C$32:$C50,AR51)&lt;IF(AND($B$3="Stage 2",$B$5=20,AR51=$E$5,$A51&lt;=IF($B$8="One Keeper",$B$5,$B$8)),2,IF(AND(OR($B$3="Stage 2",AND($B$3="Stage 3",OR($B$15="Year 10-11-12 Girls"))),AR51=$E$5,$A51&lt;=IF($B$8="One Keeper",$B$5,$B$8)),3,$B$9)))))))</f>
        <v>1</v>
      </c>
      <c r="BF51" s="20" t="b">
        <f>IF(AS51="",FALSE,AND(AS51&lt;&gt;$B51,AS51&lt;&gt;$C50,IFERROR(INDEX($E$18:$E$30,MATCH(AS51,$B$18:$B$30,0)),"No")="Yes",IF(AND(OR($B$3="Stage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Girls"))),$B$5&gt;20),MIN(3,MAX(2,Setup!$B$14)),2))*2),AS51=$E$5,IF(AND(OR($B$3="Stage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Girls"))),$B$5&gt;20),MIN(3,MAX(2,Setup!$B$14)),2))*2-1))),AS51=$E$4,TRUE)),COUNTIF($C$32:$C50,AS51)&lt;$B$6,IF($BI51,COUNTIF($C$32:$C50,AS51)&lt;IF($B$3="Stage 1",MIN($B$6,MAX(1,INT($B$5/$B$11))),IF(AND($B$3="Stage 3",$B$5=20,$B$11&gt;11),1,IF(AND($B$3="Stage 3",OR($B$15="Year 10-11-12 Girls"),$B$5&gt;20),MAX(2,Setup!$B$14),Setup!$B$14))),IF(AND($B$3&lt;&gt;"Stage 2",$B$3&lt;&gt;"Stage 3"),TRUE,IF($U51,TRUE,COUNTIF($C$32:$C50,AS51)&lt;IF(AND($B$3="Stage 2",$B$5=20,AS51=$E$5,$A51&lt;=IF($B$8="One Keeper",$B$5,$B$8)),2,IF(AND(OR($B$3="Stage 2",AND($B$3="Stage 3",OR($B$15="Year 10-11-12 Girls"))),AS51=$E$5,$A51&lt;=IF($B$8="One Keeper",$B$5,$B$8)),3,$B$9)))))))</f>
        <v>1</v>
      </c>
      <c r="BG51" s="20" t="b">
        <f>IF(AT51="",FALSE,AND(AT51&lt;&gt;$B51,AT51&lt;&gt;$C50,IFERROR(INDEX($E$18:$E$30,MATCH(AT51,$B$18:$B$30,0)),"No")="Yes",IF(AND(OR($B$3="Stage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Girls"))),$B$5&gt;20),MIN(3,MAX(2,Setup!$B$14)),2))*2),AT51=$E$5,IF(AND(OR($B$3="Stage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Girls"))),$B$5&gt;20),MIN(3,MAX(2,Setup!$B$14)),2))*2-1))),AT51=$E$4,TRUE)),COUNTIF($C$32:$C50,AT51)&lt;$B$6,IF($BI51,COUNTIF($C$32:$C50,AT51)&lt;IF($B$3="Stage 1",MIN($B$6,MAX(1,INT($B$5/$B$11))),IF(AND($B$3="Stage 3",$B$5=20,$B$11&gt;11),1,IF(AND($B$3="Stage 3",OR($B$15="Year 10-11-12 Girls"),$B$5&gt;20),MAX(2,Setup!$B$14),Setup!$B$14))),IF(AND($B$3&lt;&gt;"Stage 2",$B$3&lt;&gt;"Stage 3"),TRUE,IF($U51,TRUE,COUNTIF($C$32:$C50,AT51)&lt;IF(AND($B$3="Stage 2",$B$5=20,AT51=$E$5,$A51&lt;=IF($B$8="One Keeper",$B$5,$B$8)),2,IF(AND(OR($B$3="Stage 2",AND($B$3="Stage 3",OR($B$15="Year 10-11-12 Girls"))),AT51=$E$5,$A51&lt;=IF($B$8="One Keeper",$B$5,$B$8)),3,$B$9)))))))</f>
        <v>1</v>
      </c>
      <c r="BH51" s="20" t="b">
        <f>IF(AU51="",FALSE,AND(AU51&lt;&gt;$B51,AU51&lt;&gt;$C50,IFERROR(INDEX($E$18:$E$30,MATCH(AU51,$B$18:$B$30,0)),"No")="Yes",IF(AND(OR($B$3="Stage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Girls"))),$B$5&gt;20),MIN(3,MAX(2,Setup!$B$14)),2))*2),AU51=$E$5,IF(AND(OR($B$3="Stage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Girls"))),$B$5&gt;20),MIN(3,MAX(2,Setup!$B$14)),2))*2-1))),AU51=$E$4,TRUE)),COUNTIF($C$32:$C50,AU51)&lt;$B$6,IF($BI51,COUNTIF($C$32:$C50,AU51)&lt;IF($B$3="Stage 1",MIN($B$6,MAX(1,INT($B$5/$B$11))),IF(AND($B$3="Stage 3",$B$5=20,$B$11&gt;11),1,IF(AND($B$3="Stage 3",OR($B$15="Year 10-11-12 Girls"),$B$5&gt;20),MAX(2,Setup!$B$14),Setup!$B$14))),IF(AND($B$3&lt;&gt;"Stage 2",$B$3&lt;&gt;"Stage 3"),TRUE,IF($U51,TRUE,COUNTIF($C$32:$C50,AU51)&lt;IF(AND($B$3="Stage 2",$B$5=20,AU51=$E$5,$A51&lt;=IF($B$8="One Keeper",$B$5,$B$8)),2,IF(AND(OR($B$3="Stage 2",AND($B$3="Stage 3",OR($B$15="Year 10-11-12 Girls"))),AU51=$E$5,$A51&lt;=IF($B$8="One Keeper",$B$5,$B$8)),3,$B$9)))))))</f>
        <v>1</v>
      </c>
      <c r="BI51"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Keeper",$E$4&lt;&gt;$E$5,$A51&lt;=IF($B$8="One Keeper",$B$5,$B$8),COUNTIF($C$32:$C50,$E$5)&lt;IF(AND($B$3="Stage 3",$B$5=20,$B$11&gt;11),1,IF(AND(OR($B$3="Stage 2",AND($B$3="Stage 3",OR($B$15="Year 10-11-12 Girls"))),$B$5&gt;20),MIN(3,MAX(2,Setup!$B$14)),2)),IFERROR(INDEX($E$18:$E$30,MATCH($E$5,$B$18:$B$30,0)),"No")="Yes",$C50&lt;&gt;$E$5,MOD($A51,2)=0,$A51&lt;=IF(AND($B$3="Stage 3",$B$5=20,$B$11&gt;11),1,IF(AND(OR($B$3="Stage 2",AND($B$3="Stage 3",OR($B$15="Year 10-11-12 Girls"))),$B$5&gt;20),MIN(3,MAX(2,Setup!$B$14)),2))*2),AND(OR($B$3="Stage 1",$B$3="Stage 2",AND($B$3="Stage 3",OR(OR($B$15="Year 10-11-12 Girls"),OR($B$15="Year 8 Boys",$B$15="Year 9 Boys",$B$15="Year 10-11 Boys")))),$B$8&lt;&gt;"One Keeper",$E$4&lt;&gt;$E$5,$A51&gt;IF($B$8="One Keeper",$B$5,$B$8),COUNTIF($C$32:$C50,$E$4)&lt;IF(AND($B$3="Stage 3",$B$5=20,$B$11&gt;11),1,IF(AND(OR($B$3="Stage 2",AND($B$3="Stage 3",OR($B$15="Year 10-11-12 Girls"))),$B$5&gt;20),MIN(3,MAX(2,Setup!$B$14)),2)),IFERROR(INDEX($E$18:$E$30,MATCH($E$4,$B$18:$B$30,0)),"No")="Yes",$C50&lt;&gt;$E$4,IF($B$7="Three-over spell",AND(MOD($A51-IF($B$8="One Keeper",$B$5,$B$8)-1,3)=0,($A51-IF($B$8="One Keeper",$B$5,$B$8))&lt;=1+(IF(AND($B$3="Stage 3",$B$5=20,$B$11&gt;11),1,IF(AND(OR($B$3="Stage 2",AND($B$3="Stage 3",OR($B$15="Year 10-11-12 Girls"))),$B$5&gt;20),MIN(3,MAX(2,Setup!$B$14)),2))-1)*3),AND(MOD($A51-IF($B$8="One Keeper",$B$5,$B$8),2)=1,($A51-IF($B$8="One Keeper",$B$5,$B$8))&lt;=IF(AND($B$3="Stage 3",$B$5=20,$B$11&gt;11),1,IF(AND(OR($B$3="Stage 2",AND($B$3="Stage 3",OR($B$15="Year 10-11-12 Girls"))),$B$5&gt;20),MIN(3,MAX(2,Setup!$B$14)),2))*2-1))))),OR($U51,AND($B$3="Stage 3",$B$5=20,$B$11&gt;11)),OR($BJ51,$BK51,$BL51,$BM51,$BN51,$BO51,$BP51,$BQ51,$BR51,$BS51,$BT51,$BU51,$BV51))</f>
        <v>0</v>
      </c>
      <c r="BJ51" s="20" t="b">
        <f>IF(AI51="",FALSE,AND(AI51&lt;&gt;IF(AND($B$3="Stage 3",OR($B$15="Year 8 Boys",$B$15="Year 9 Boys",$B$15="Year 10-11 Boys"),$B$8="One Keeper"),$E$4,""),AI51&lt;&gt;$B51,AI51&lt;&gt;$C50,IFERROR(INDEX($E$18:$E$30,MATCH(AI51,$B$18:$B$30,0)),"No")="Yes",COUNTIF($C$32:$C50,AI51)&lt;$B$6,COUNTIF($C$32:$C50,AI51)&lt;IF($B$3="Stage 1",MIN($B$6,MAX(1,INT($B$5/$B$11))),IF(AND($B$3="Stage 3",$B$5=20,$B$11&gt;11),1,IF(AND($B$3="Stage 3",OR($B$15="Year 10-11-12 Girls"),$B$5&gt;20),MAX(2,Setup!$B$14),Setup!$B$14)))))</f>
        <v>0</v>
      </c>
      <c r="BK51" s="20" t="b">
        <f>IF(AJ51="",FALSE,AND(AJ51&lt;&gt;IF(AND($B$3="Stage 3",OR($B$15="Year 8 Boys",$B$15="Year 9 Boys",$B$15="Year 10-11 Boys"),$B$8="One Keeper"),$E$4,""),AJ51&lt;&gt;$B51,AJ51&lt;&gt;$C50,IFERROR(INDEX($E$18:$E$30,MATCH(AJ51,$B$18:$B$30,0)),"No")="Yes",COUNTIF($C$32:$C50,AJ51)&lt;$B$6,COUNTIF($C$32:$C50,AJ51)&lt;IF($B$3="Stage 1",MIN($B$6,MAX(1,INT($B$5/$B$11))),IF(AND($B$3="Stage 3",$B$5=20,$B$11&gt;11),1,IF(AND($B$3="Stage 3",OR($B$15="Year 10-11-12 Girls"),$B$5&gt;20),MAX(2,Setup!$B$14),Setup!$B$14)))))</f>
        <v>0</v>
      </c>
      <c r="BL51" s="20" t="b">
        <f>IF(AK51="",FALSE,AND(AK51&lt;&gt;IF(AND($B$3="Stage 3",OR($B$15="Year 8 Boys",$B$15="Year 9 Boys",$B$15="Year 10-11 Boys"),$B$8="One Keeper"),$E$4,""),AK51&lt;&gt;$B51,AK51&lt;&gt;$C50,IFERROR(INDEX($E$18:$E$30,MATCH(AK51,$B$18:$B$30,0)),"No")="Yes",COUNTIF($C$32:$C50,AK51)&lt;$B$6,COUNTIF($C$32:$C50,AK51)&lt;IF($B$3="Stage 1",MIN($B$6,MAX(1,INT($B$5/$B$11))),IF(AND($B$3="Stage 3",$B$5=20,$B$11&gt;11),1,IF(AND($B$3="Stage 3",OR($B$15="Year 10-11-12 Girls"),$B$5&gt;20),MAX(2,Setup!$B$14),Setup!$B$14)))))</f>
        <v>0</v>
      </c>
      <c r="BM51" s="20" t="b">
        <f>IF(AL51="",FALSE,AND(AL51&lt;&gt;IF(AND($B$3="Stage 3",OR($B$15="Year 8 Boys",$B$15="Year 9 Boys",$B$15="Year 10-11 Boys"),$B$8="One Keeper"),$E$4,""),AL51&lt;&gt;$B51,AL51&lt;&gt;$C50,IFERROR(INDEX($E$18:$E$30,MATCH(AL51,$B$18:$B$30,0)),"No")="Yes",COUNTIF($C$32:$C50,AL51)&lt;$B$6,COUNTIF($C$32:$C50,AL51)&lt;IF($B$3="Stage 1",MIN($B$6,MAX(1,INT($B$5/$B$11))),IF(AND($B$3="Stage 3",$B$5=20,$B$11&gt;11),1,IF(AND($B$3="Stage 3",OR($B$15="Year 10-11-12 Girls"),$B$5&gt;20),MAX(2,Setup!$B$14),Setup!$B$14)))))</f>
        <v>0</v>
      </c>
      <c r="BN51" s="20" t="b">
        <f>IF(AM51="",FALSE,AND(AM51&lt;&gt;IF(AND($B$3="Stage 3",OR($B$15="Year 8 Boys",$B$15="Year 9 Boys",$B$15="Year 10-11 Boys"),$B$8="One Keeper"),$E$4,""),AM51&lt;&gt;$B51,AM51&lt;&gt;$C50,IFERROR(INDEX($E$18:$E$30,MATCH(AM51,$B$18:$B$30,0)),"No")="Yes",COUNTIF($C$32:$C50,AM51)&lt;$B$6,COUNTIF($C$32:$C50,AM51)&lt;IF($B$3="Stage 1",MIN($B$6,MAX(1,INT($B$5/$B$11))),IF(AND($B$3="Stage 3",$B$5=20,$B$11&gt;11),1,IF(AND($B$3="Stage 3",OR($B$15="Year 10-11-12 Girls"),$B$5&gt;20),MAX(2,Setup!$B$14),Setup!$B$14)))))</f>
        <v>0</v>
      </c>
      <c r="BO51" s="20" t="b">
        <f>IF(AN51="",FALSE,AND(AN51&lt;&gt;IF(AND($B$3="Stage 3",OR($B$15="Year 8 Boys",$B$15="Year 9 Boys",$B$15="Year 10-11 Boys"),$B$8="One Keeper"),$E$4,""),AN51&lt;&gt;$B51,AN51&lt;&gt;$C50,IFERROR(INDEX($E$18:$E$30,MATCH(AN51,$B$18:$B$30,0)),"No")="Yes",COUNTIF($C$32:$C50,AN51)&lt;$B$6,COUNTIF($C$32:$C50,AN51)&lt;IF($B$3="Stage 1",MIN($B$6,MAX(1,INT($B$5/$B$11))),IF(AND($B$3="Stage 3",$B$5=20,$B$11&gt;11),1,IF(AND($B$3="Stage 3",OR($B$15="Year 10-11-12 Girls"),$B$5&gt;20),MAX(2,Setup!$B$14),Setup!$B$14)))))</f>
        <v>0</v>
      </c>
      <c r="BP51" s="20" t="b">
        <f>IF(AO51="",FALSE,AND(AO51&lt;&gt;IF(AND($B$3="Stage 3",OR($B$15="Year 8 Boys",$B$15="Year 9 Boys",$B$15="Year 10-11 Boys"),$B$8="One Keeper"),$E$4,""),AO51&lt;&gt;$B51,AO51&lt;&gt;$C50,IFERROR(INDEX($E$18:$E$30,MATCH(AO51,$B$18:$B$30,0)),"No")="Yes",COUNTIF($C$32:$C50,AO51)&lt;$B$6,COUNTIF($C$32:$C50,AO51)&lt;IF($B$3="Stage 1",MIN($B$6,MAX(1,INT($B$5/$B$11))),IF(AND($B$3="Stage 3",$B$5=20,$B$11&gt;11),1,IF(AND($B$3="Stage 3",OR($B$15="Year 10-11-12 Girls"),$B$5&gt;20),MAX(2,Setup!$B$14),Setup!$B$14)))))</f>
        <v>0</v>
      </c>
      <c r="BQ51" s="20" t="b">
        <f>IF(AP51="",FALSE,AND(AP51&lt;&gt;IF(AND($B$3="Stage 3",OR($B$15="Year 8 Boys",$B$15="Year 9 Boys",$B$15="Year 10-11 Boys"),$B$8="One Keeper"),$E$4,""),AP51&lt;&gt;$B51,AP51&lt;&gt;$C50,IFERROR(INDEX($E$18:$E$30,MATCH(AP51,$B$18:$B$30,0)),"No")="Yes",COUNTIF($C$32:$C50,AP51)&lt;$B$6,COUNTIF($C$32:$C50,AP51)&lt;IF($B$3="Stage 1",MIN($B$6,MAX(1,INT($B$5/$B$11))),IF(AND($B$3="Stage 3",$B$5=20,$B$11&gt;11),1,IF(AND($B$3="Stage 3",OR($B$15="Year 10-11-12 Girls"),$B$5&gt;20),MAX(2,Setup!$B$14),Setup!$B$14)))))</f>
        <v>0</v>
      </c>
      <c r="BR51" s="20" t="b">
        <f>IF(AQ51="",FALSE,AND(AQ51&lt;&gt;IF(AND($B$3="Stage 3",OR($B$15="Year 8 Boys",$B$15="Year 9 Boys",$B$15="Year 10-11 Boys"),$B$8="One Keeper"),$E$4,""),AQ51&lt;&gt;$B51,AQ51&lt;&gt;$C50,IFERROR(INDEX($E$18:$E$30,MATCH(AQ51,$B$18:$B$30,0)),"No")="Yes",COUNTIF($C$32:$C50,AQ51)&lt;$B$6,COUNTIF($C$32:$C50,AQ51)&lt;IF($B$3="Stage 1",MIN($B$6,MAX(1,INT($B$5/$B$11))),IF(AND($B$3="Stage 3",$B$5=20,$B$11&gt;11),1,IF(AND($B$3="Stage 3",OR($B$15="Year 10-11-12 Girls"),$B$5&gt;20),MAX(2,Setup!$B$14),Setup!$B$14)))))</f>
        <v>0</v>
      </c>
      <c r="BS51" s="20" t="b">
        <f>IF(AR51="",FALSE,AND(AR51&lt;&gt;IF(AND($B$3="Stage 3",OR($B$15="Year 8 Boys",$B$15="Year 9 Boys",$B$15="Year 10-11 Boys"),$B$8="One Keeper"),$E$4,""),AR51&lt;&gt;$B51,AR51&lt;&gt;$C50,IFERROR(INDEX($E$18:$E$30,MATCH(AR51,$B$18:$B$30,0)),"No")="Yes",COUNTIF($C$32:$C50,AR51)&lt;$B$6,COUNTIF($C$32:$C50,AR51)&lt;IF($B$3="Stage 1",MIN($B$6,MAX(1,INT($B$5/$B$11))),IF(AND($B$3="Stage 3",$B$5=20,$B$11&gt;11),1,IF(AND($B$3="Stage 3",OR($B$15="Year 10-11-12 Girls"),$B$5&gt;20),MAX(2,Setup!$B$14),Setup!$B$14)))))</f>
        <v>0</v>
      </c>
      <c r="BT51" s="20" t="b">
        <f>IF(AS51="",FALSE,AND(AS51&lt;&gt;IF(AND($B$3="Stage 3",OR($B$15="Year 8 Boys",$B$15="Year 9 Boys",$B$15="Year 10-11 Boys"),$B$8="One Keeper"),$E$4,""),AS51&lt;&gt;$B51,AS51&lt;&gt;$C50,IFERROR(INDEX($E$18:$E$30,MATCH(AS51,$B$18:$B$30,0)),"No")="Yes",COUNTIF($C$32:$C50,AS51)&lt;$B$6,COUNTIF($C$32:$C50,AS51)&lt;IF($B$3="Stage 1",MIN($B$6,MAX(1,INT($B$5/$B$11))),IF(AND($B$3="Stage 3",$B$5=20,$B$11&gt;11),1,IF(AND($B$3="Stage 3",OR($B$15="Year 10-11-12 Girls"),$B$5&gt;20),MAX(2,Setup!$B$14),Setup!$B$14)))))</f>
        <v>0</v>
      </c>
      <c r="BU51" s="20" t="b">
        <f>IF(AT51="",FALSE,AND(AT51&lt;&gt;IF(AND($B$3="Stage 3",OR($B$15="Year 8 Boys",$B$15="Year 9 Boys",$B$15="Year 10-11 Boys"),$B$8="One Keeper"),$E$4,""),AT51&lt;&gt;$B51,AT51&lt;&gt;$C50,IFERROR(INDEX($E$18:$E$30,MATCH(AT51,$B$18:$B$30,0)),"No")="Yes",COUNTIF($C$32:$C50,AT51)&lt;$B$6,COUNTIF($C$32:$C50,AT51)&lt;IF($B$3="Stage 1",MIN($B$6,MAX(1,INT($B$5/$B$11))),IF(AND($B$3="Stage 3",$B$5=20,$B$11&gt;11),1,IF(AND($B$3="Stage 3",OR($B$15="Year 10-11-12 Girls"),$B$5&gt;20),MAX(2,Setup!$B$14),Setup!$B$14)))))</f>
        <v>0</v>
      </c>
      <c r="BV51" s="20" t="b">
        <f>IF(AU51="",FALSE,AND(AU51&lt;&gt;IF(AND($B$3="Stage 3",OR($B$15="Year 8 Boys",$B$15="Year 9 Boys",$B$15="Year 10-11 Boys"),$B$8="One Keeper"),$E$4,""),AU51&lt;&gt;$B51,AU51&lt;&gt;$C50,IFERROR(INDEX($E$18:$E$30,MATCH(AU51,$B$18:$B$30,0)),"No")="Yes",COUNTIF($C$32:$C50,AU51)&lt;$B$6,COUNTIF($C$32:$C50,AU51)&lt;IF($B$3="Stage 1",MIN($B$6,MAX(1,INT($B$5/$B$11))),IF(AND($B$3="Stage 3",$B$5=20,$B$11&gt;11),1,IF(AND($B$3="Stage 3",OR($B$15="Year 10-11-12 Girls"),$B$5&gt;20),MAX(2,Setup!$B$14),Setup!$B$14)))))</f>
        <v>0</v>
      </c>
      <c r="BW51" s="20"/>
      <c r="BX51" s="20"/>
      <c r="BY51" s="20"/>
      <c r="BZ51" s="20"/>
      <c r="CA51" s="20"/>
      <c r="CB51" s="20"/>
      <c r="CC51" s="20"/>
      <c r="CD51" s="20"/>
      <c r="CE51" s="20"/>
      <c r="CF51" s="20"/>
      <c r="CG51" s="20"/>
      <c r="CH51" s="20"/>
      <c r="CI51" s="20"/>
      <c r="CJ51" s="20"/>
      <c r="CK51" s="20"/>
    </row>
    <row r="52" spans="1:89" ht="15" customHeight="1">
      <c r="A52" s="18">
        <v>21</v>
      </c>
      <c r="B52" s="18" t="str">
        <f t="shared" si="5"/>
        <v/>
      </c>
      <c r="C52" s="18" t="str">
        <f t="shared" si="6"/>
        <v/>
      </c>
      <c r="D52" s="18">
        <f t="shared" si="7"/>
        <v>8</v>
      </c>
      <c r="E52" s="18" t="str">
        <f>IF($C52="","",COUNTIF($C$32:C52,$C52))</f>
        <v/>
      </c>
      <c r="F52" s="18" t="str">
        <f t="shared" si="8"/>
        <v/>
      </c>
      <c r="T52" s="20" t="str">
        <f t="shared" si="15"/>
        <v/>
      </c>
      <c r="U52" s="20" t="b">
        <f>IF(OR($B$3="Stage 2",AND($B$3="Stage 3",OR($B$15="Year 10-11-12 Girls"))),(IF(AND($P$18&lt;&gt;"",$P$18&lt;&gt;$E$4,COUNTIF($C$32:$C51,$P$18)&gt;=2),1,0)+IF(AND($P$19&lt;&gt;"",$P$19&lt;&gt;$E$4,COUNTIF($C$32:$C51,$P$19)&gt;=2),1,0)+IF(AND($P$20&lt;&gt;"",$P$20&lt;&gt;$E$4,COUNTIF($C$32:$C51,$P$20)&gt;=2),1,0)+IF(AND($P$21&lt;&gt;"",$P$21&lt;&gt;$E$4,COUNTIF($C$32:$C51,$P$21)&gt;=2),1,0)+IF(AND($P$22&lt;&gt;"",$P$22&lt;&gt;$E$4,COUNTIF($C$32:$C51,$P$22)&gt;=2),1,0)+IF(AND($P$23&lt;&gt;"",$P$23&lt;&gt;$E$4,COUNTIF($C$32:$C51,$P$23)&gt;=2),1,0)+IF(AND($P$24&lt;&gt;"",$P$24&lt;&gt;$E$4,COUNTIF($C$32:$C51,$P$24)&gt;=2),1,0)+IF(AND($P$25&lt;&gt;"",$P$25&lt;&gt;$E$4,COUNTIF($C$32:$C51,$P$25)&gt;=2),1,0)+IF(AND($P$26&lt;&gt;"",$P$26&lt;&gt;$E$4,COUNTIF($C$32:$C51,$P$26)&gt;=2),1,0)+IF(AND($P$27&lt;&gt;"",$P$27&lt;&gt;$E$4,COUNTIF($C$32:$C51,$P$27)&gt;=2),1,0)+IF(AND($P$28&lt;&gt;"",$P$28&lt;&gt;$E$4,COUNTIF($C$32:$C51,$P$28)&gt;=2),1,0)+IF(AND($P$29&lt;&gt;"",$P$29&lt;&gt;$E$4,COUNTIF($C$32:$C51,$P$29)&gt;=2),1,0)+IF(AND($P$30&lt;&gt;"",$P$30&lt;&gt;$E$4,COUNTIF($C$32:$C51,$P$30)&gt;=2),1,0))&gt;=MAX(0,$B$11-1),IF(AND($B$3="Stage 3",OR($B$15="Year 8 Boys",$B$15="Year 9 Boys",$B$15="Year 10-11 Boys")),(IF(AND($P$18&lt;&gt;"",COUNTIF($C$32:$C51,$P$18)&gt;=2),1,0)+IF(AND($P$19&lt;&gt;"",COUNTIF($C$32:$C51,$P$19)&gt;=2),1,0)+IF(AND($P$20&lt;&gt;"",COUNTIF($C$32:$C51,$P$20)&gt;=2),1,0)+IF(AND($P$21&lt;&gt;"",COUNTIF($C$32:$C51,$P$21)&gt;=2),1,0)+IF(AND($P$22&lt;&gt;"",COUNTIF($C$32:$C51,$P$22)&gt;=2),1,0)+IF(AND($P$23&lt;&gt;"",COUNTIF($C$32:$C51,$P$23)&gt;=2),1,0)+IF(AND($P$24&lt;&gt;"",COUNTIF($C$32:$C51,$P$24)&gt;=2),1,0)+IF(AND($P$25&lt;&gt;"",COUNTIF($C$32:$C51,$P$25)&gt;=2),1,0)+IF(AND($P$26&lt;&gt;"",COUNTIF($C$32:$C51,$P$26)&gt;=2),1,0)+IF(AND($P$27&lt;&gt;"",COUNTIF($C$32:$C51,$P$27)&gt;=2),1,0)+IF(AND($P$28&lt;&gt;"",COUNTIF($C$32:$C51,$P$28)&gt;=2),1,0)+IF(AND($P$29&lt;&gt;"",COUNTIF($C$32:$C51,$P$29)&gt;=2),1,0)+IF(AND($P$30&lt;&gt;"",COUNTIF($C$32:$C51,$P$30)&gt;=2),1,0))&gt;=7,TRUE))</f>
        <v>1</v>
      </c>
      <c r="V52" s="20" t="str">
        <f t="shared" ref="V52:AH61" si="31">IF($A52&gt;$B$5,"",MOD($T52+V$30-2,$B$11)+1)</f>
        <v/>
      </c>
      <c r="W52" s="20" t="str">
        <f t="shared" si="31"/>
        <v/>
      </c>
      <c r="X52" s="20" t="str">
        <f t="shared" si="31"/>
        <v/>
      </c>
      <c r="Y52" s="20" t="str">
        <f t="shared" si="31"/>
        <v/>
      </c>
      <c r="Z52" s="20" t="str">
        <f t="shared" si="31"/>
        <v/>
      </c>
      <c r="AA52" s="20" t="str">
        <f t="shared" si="31"/>
        <v/>
      </c>
      <c r="AB52" s="20" t="str">
        <f t="shared" si="31"/>
        <v/>
      </c>
      <c r="AC52" s="20" t="str">
        <f t="shared" si="31"/>
        <v/>
      </c>
      <c r="AD52" s="20" t="str">
        <f t="shared" si="31"/>
        <v/>
      </c>
      <c r="AE52" s="20" t="str">
        <f t="shared" si="31"/>
        <v/>
      </c>
      <c r="AF52" s="20" t="str">
        <f t="shared" si="31"/>
        <v/>
      </c>
      <c r="AG52" s="20" t="str">
        <f t="shared" si="31"/>
        <v/>
      </c>
      <c r="AH52" s="20" t="str">
        <f t="shared" si="31"/>
        <v/>
      </c>
      <c r="AI52" s="20" t="str">
        <f t="shared" si="17"/>
        <v/>
      </c>
      <c r="AJ52" s="20" t="str">
        <f t="shared" si="18"/>
        <v/>
      </c>
      <c r="AK52" s="20" t="str">
        <f t="shared" si="19"/>
        <v/>
      </c>
      <c r="AL52" s="20" t="str">
        <f t="shared" si="20"/>
        <v/>
      </c>
      <c r="AM52" s="20" t="str">
        <f t="shared" si="21"/>
        <v/>
      </c>
      <c r="AN52" s="20" t="str">
        <f t="shared" si="22"/>
        <v/>
      </c>
      <c r="AO52" s="20" t="str">
        <f t="shared" si="23"/>
        <v/>
      </c>
      <c r="AP52" s="20" t="str">
        <f t="shared" si="24"/>
        <v/>
      </c>
      <c r="AQ52" s="20" t="str">
        <f t="shared" si="25"/>
        <v/>
      </c>
      <c r="AR52" s="20" t="str">
        <f t="shared" si="26"/>
        <v/>
      </c>
      <c r="AS52" s="20" t="str">
        <f t="shared" si="27"/>
        <v/>
      </c>
      <c r="AT52" s="20" t="str">
        <f t="shared" si="28"/>
        <v/>
      </c>
      <c r="AU52" s="20" t="str">
        <f t="shared" si="29"/>
        <v/>
      </c>
      <c r="AV52" s="20" t="b">
        <f>IF(AI52="",FALSE,AND(AI52&lt;&gt;$B52,AI52&lt;&gt;$C51,IFERROR(INDEX($E$18:$E$30,MATCH(AI52,$B$18:$B$30,0)),"No")="Yes",IF(AND(OR($B$3="Stage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Girls"))),$B$5&gt;20),MIN(3,MAX(2,Setup!$B$14)),2))*2),AI52=$E$5,IF(AND(OR($B$3="Stage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Girls"))),$B$5&gt;20),MIN(3,MAX(2,Setup!$B$14)),2))*2-1))),AI52=$E$4,TRUE)),COUNTIF($C$32:$C51,AI52)&lt;$B$6,IF($BI52,COUNTIF($C$32:$C51,AI52)&lt;IF($B$3="Stage 1",MIN($B$6,MAX(1,INT($B$5/$B$11))),IF(AND($B$3="Stage 3",$B$5=20,$B$11&gt;11),1,IF(AND($B$3="Stage 3",OR($B$15="Year 10-11-12 Girls"),$B$5&gt;20),MAX(2,Setup!$B$14),Setup!$B$14))),IF(AND($B$3&lt;&gt;"Stage 2",$B$3&lt;&gt;"Stage 3"),TRUE,IF($U52,TRUE,COUNTIF($C$32:$C51,AI52)&lt;IF(AND($B$3="Stage 2",$B$5=20,AI52=$E$5,$A52&lt;=IF($B$8="One Keeper",$B$5,$B$8)),2,IF(AND(OR($B$3="Stage 2",AND($B$3="Stage 3",OR($B$15="Year 10-11-12 Girls"))),AI52=$E$5,$A52&lt;=IF($B$8="One Keeper",$B$5,$B$8)),3,$B$9)))))))</f>
        <v>0</v>
      </c>
      <c r="AW52" s="20" t="b">
        <f>IF(AJ52="",FALSE,AND(AJ52&lt;&gt;$B52,AJ52&lt;&gt;$C51,IFERROR(INDEX($E$18:$E$30,MATCH(AJ52,$B$18:$B$30,0)),"No")="Yes",IF(AND(OR($B$3="Stage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Girls"))),$B$5&gt;20),MIN(3,MAX(2,Setup!$B$14)),2))*2),AJ52=$E$5,IF(AND(OR($B$3="Stage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Girls"))),$B$5&gt;20),MIN(3,MAX(2,Setup!$B$14)),2))*2-1))),AJ52=$E$4,TRUE)),COUNTIF($C$32:$C51,AJ52)&lt;$B$6,IF($BI52,COUNTIF($C$32:$C51,AJ52)&lt;IF($B$3="Stage 1",MIN($B$6,MAX(1,INT($B$5/$B$11))),IF(AND($B$3="Stage 3",$B$5=20,$B$11&gt;11),1,IF(AND($B$3="Stage 3",OR($B$15="Year 10-11-12 Girls"),$B$5&gt;20),MAX(2,Setup!$B$14),Setup!$B$14))),IF(AND($B$3&lt;&gt;"Stage 2",$B$3&lt;&gt;"Stage 3"),TRUE,IF($U52,TRUE,COUNTIF($C$32:$C51,AJ52)&lt;IF(AND($B$3="Stage 2",$B$5=20,AJ52=$E$5,$A52&lt;=IF($B$8="One Keeper",$B$5,$B$8)),2,IF(AND(OR($B$3="Stage 2",AND($B$3="Stage 3",OR($B$15="Year 10-11-12 Girls"))),AJ52=$E$5,$A52&lt;=IF($B$8="One Keeper",$B$5,$B$8)),3,$B$9)))))))</f>
        <v>0</v>
      </c>
      <c r="AX52" s="20" t="b">
        <f>IF(AK52="",FALSE,AND(AK52&lt;&gt;$B52,AK52&lt;&gt;$C51,IFERROR(INDEX($E$18:$E$30,MATCH(AK52,$B$18:$B$30,0)),"No")="Yes",IF(AND(OR($B$3="Stage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Girls"))),$B$5&gt;20),MIN(3,MAX(2,Setup!$B$14)),2))*2),AK52=$E$5,IF(AND(OR($B$3="Stage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Girls"))),$B$5&gt;20),MIN(3,MAX(2,Setup!$B$14)),2))*2-1))),AK52=$E$4,TRUE)),COUNTIF($C$32:$C51,AK52)&lt;$B$6,IF($BI52,COUNTIF($C$32:$C51,AK52)&lt;IF($B$3="Stage 1",MIN($B$6,MAX(1,INT($B$5/$B$11))),IF(AND($B$3="Stage 3",$B$5=20,$B$11&gt;11),1,IF(AND($B$3="Stage 3",OR($B$15="Year 10-11-12 Girls"),$B$5&gt;20),MAX(2,Setup!$B$14),Setup!$B$14))),IF(AND($B$3&lt;&gt;"Stage 2",$B$3&lt;&gt;"Stage 3"),TRUE,IF($U52,TRUE,COUNTIF($C$32:$C51,AK52)&lt;IF(AND($B$3="Stage 2",$B$5=20,AK52=$E$5,$A52&lt;=IF($B$8="One Keeper",$B$5,$B$8)),2,IF(AND(OR($B$3="Stage 2",AND($B$3="Stage 3",OR($B$15="Year 10-11-12 Girls"))),AK52=$E$5,$A52&lt;=IF($B$8="One Keeper",$B$5,$B$8)),3,$B$9)))))))</f>
        <v>0</v>
      </c>
      <c r="AY52" s="20" t="b">
        <f>IF(AL52="",FALSE,AND(AL52&lt;&gt;$B52,AL52&lt;&gt;$C51,IFERROR(INDEX($E$18:$E$30,MATCH(AL52,$B$18:$B$30,0)),"No")="Yes",IF(AND(OR($B$3="Stage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Girls"))),$B$5&gt;20),MIN(3,MAX(2,Setup!$B$14)),2))*2),AL52=$E$5,IF(AND(OR($B$3="Stage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Girls"))),$B$5&gt;20),MIN(3,MAX(2,Setup!$B$14)),2))*2-1))),AL52=$E$4,TRUE)),COUNTIF($C$32:$C51,AL52)&lt;$B$6,IF($BI52,COUNTIF($C$32:$C51,AL52)&lt;IF($B$3="Stage 1",MIN($B$6,MAX(1,INT($B$5/$B$11))),IF(AND($B$3="Stage 3",$B$5=20,$B$11&gt;11),1,IF(AND($B$3="Stage 3",OR($B$15="Year 10-11-12 Girls"),$B$5&gt;20),MAX(2,Setup!$B$14),Setup!$B$14))),IF(AND($B$3&lt;&gt;"Stage 2",$B$3&lt;&gt;"Stage 3"),TRUE,IF($U52,TRUE,COUNTIF($C$32:$C51,AL52)&lt;IF(AND($B$3="Stage 2",$B$5=20,AL52=$E$5,$A52&lt;=IF($B$8="One Keeper",$B$5,$B$8)),2,IF(AND(OR($B$3="Stage 2",AND($B$3="Stage 3",OR($B$15="Year 10-11-12 Girls"))),AL52=$E$5,$A52&lt;=IF($B$8="One Keeper",$B$5,$B$8)),3,$B$9)))))))</f>
        <v>0</v>
      </c>
      <c r="AZ52" s="20" t="b">
        <f>IF(AM52="",FALSE,AND(AM52&lt;&gt;$B52,AM52&lt;&gt;$C51,IFERROR(INDEX($E$18:$E$30,MATCH(AM52,$B$18:$B$30,0)),"No")="Yes",IF(AND(OR($B$3="Stage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Girls"))),$B$5&gt;20),MIN(3,MAX(2,Setup!$B$14)),2))*2),AM52=$E$5,IF(AND(OR($B$3="Stage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Girls"))),$B$5&gt;20),MIN(3,MAX(2,Setup!$B$14)),2))*2-1))),AM52=$E$4,TRUE)),COUNTIF($C$32:$C51,AM52)&lt;$B$6,IF($BI52,COUNTIF($C$32:$C51,AM52)&lt;IF($B$3="Stage 1",MIN($B$6,MAX(1,INT($B$5/$B$11))),IF(AND($B$3="Stage 3",$B$5=20,$B$11&gt;11),1,IF(AND($B$3="Stage 3",OR($B$15="Year 10-11-12 Girls"),$B$5&gt;20),MAX(2,Setup!$B$14),Setup!$B$14))),IF(AND($B$3&lt;&gt;"Stage 2",$B$3&lt;&gt;"Stage 3"),TRUE,IF($U52,TRUE,COUNTIF($C$32:$C51,AM52)&lt;IF(AND($B$3="Stage 2",$B$5=20,AM52=$E$5,$A52&lt;=IF($B$8="One Keeper",$B$5,$B$8)),2,IF(AND(OR($B$3="Stage 2",AND($B$3="Stage 3",OR($B$15="Year 10-11-12 Girls"))),AM52=$E$5,$A52&lt;=IF($B$8="One Keeper",$B$5,$B$8)),3,$B$9)))))))</f>
        <v>0</v>
      </c>
      <c r="BA52" s="20" t="b">
        <f>IF(AN52="",FALSE,AND(AN52&lt;&gt;$B52,AN52&lt;&gt;$C51,IFERROR(INDEX($E$18:$E$30,MATCH(AN52,$B$18:$B$30,0)),"No")="Yes",IF(AND(OR($B$3="Stage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Girls"))),$B$5&gt;20),MIN(3,MAX(2,Setup!$B$14)),2))*2),AN52=$E$5,IF(AND(OR($B$3="Stage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Girls"))),$B$5&gt;20),MIN(3,MAX(2,Setup!$B$14)),2))*2-1))),AN52=$E$4,TRUE)),COUNTIF($C$32:$C51,AN52)&lt;$B$6,IF($BI52,COUNTIF($C$32:$C51,AN52)&lt;IF($B$3="Stage 1",MIN($B$6,MAX(1,INT($B$5/$B$11))),IF(AND($B$3="Stage 3",$B$5=20,$B$11&gt;11),1,IF(AND($B$3="Stage 3",OR($B$15="Year 10-11-12 Girls"),$B$5&gt;20),MAX(2,Setup!$B$14),Setup!$B$14))),IF(AND($B$3&lt;&gt;"Stage 2",$B$3&lt;&gt;"Stage 3"),TRUE,IF($U52,TRUE,COUNTIF($C$32:$C51,AN52)&lt;IF(AND($B$3="Stage 2",$B$5=20,AN52=$E$5,$A52&lt;=IF($B$8="One Keeper",$B$5,$B$8)),2,IF(AND(OR($B$3="Stage 2",AND($B$3="Stage 3",OR($B$15="Year 10-11-12 Girls"))),AN52=$E$5,$A52&lt;=IF($B$8="One Keeper",$B$5,$B$8)),3,$B$9)))))))</f>
        <v>0</v>
      </c>
      <c r="BB52" s="20" t="b">
        <f>IF(AO52="",FALSE,AND(AO52&lt;&gt;$B52,AO52&lt;&gt;$C51,IFERROR(INDEX($E$18:$E$30,MATCH(AO52,$B$18:$B$30,0)),"No")="Yes",IF(AND(OR($B$3="Stage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Girls"))),$B$5&gt;20),MIN(3,MAX(2,Setup!$B$14)),2))*2),AO52=$E$5,IF(AND(OR($B$3="Stage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Girls"))),$B$5&gt;20),MIN(3,MAX(2,Setup!$B$14)),2))*2-1))),AO52=$E$4,TRUE)),COUNTIF($C$32:$C51,AO52)&lt;$B$6,IF($BI52,COUNTIF($C$32:$C51,AO52)&lt;IF($B$3="Stage 1",MIN($B$6,MAX(1,INT($B$5/$B$11))),IF(AND($B$3="Stage 3",$B$5=20,$B$11&gt;11),1,IF(AND($B$3="Stage 3",OR($B$15="Year 10-11-12 Girls"),$B$5&gt;20),MAX(2,Setup!$B$14),Setup!$B$14))),IF(AND($B$3&lt;&gt;"Stage 2",$B$3&lt;&gt;"Stage 3"),TRUE,IF($U52,TRUE,COUNTIF($C$32:$C51,AO52)&lt;IF(AND($B$3="Stage 2",$B$5=20,AO52=$E$5,$A52&lt;=IF($B$8="One Keeper",$B$5,$B$8)),2,IF(AND(OR($B$3="Stage 2",AND($B$3="Stage 3",OR($B$15="Year 10-11-12 Girls"))),AO52=$E$5,$A52&lt;=IF($B$8="One Keeper",$B$5,$B$8)),3,$B$9)))))))</f>
        <v>0</v>
      </c>
      <c r="BC52" s="20" t="b">
        <f>IF(AP52="",FALSE,AND(AP52&lt;&gt;$B52,AP52&lt;&gt;$C51,IFERROR(INDEX($E$18:$E$30,MATCH(AP52,$B$18:$B$30,0)),"No")="Yes",IF(AND(OR($B$3="Stage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Girls"))),$B$5&gt;20),MIN(3,MAX(2,Setup!$B$14)),2))*2),AP52=$E$5,IF(AND(OR($B$3="Stage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Girls"))),$B$5&gt;20),MIN(3,MAX(2,Setup!$B$14)),2))*2-1))),AP52=$E$4,TRUE)),COUNTIF($C$32:$C51,AP52)&lt;$B$6,IF($BI52,COUNTIF($C$32:$C51,AP52)&lt;IF($B$3="Stage 1",MIN($B$6,MAX(1,INT($B$5/$B$11))),IF(AND($B$3="Stage 3",$B$5=20,$B$11&gt;11),1,IF(AND($B$3="Stage 3",OR($B$15="Year 10-11-12 Girls"),$B$5&gt;20),MAX(2,Setup!$B$14),Setup!$B$14))),IF(AND($B$3&lt;&gt;"Stage 2",$B$3&lt;&gt;"Stage 3"),TRUE,IF($U52,TRUE,COUNTIF($C$32:$C51,AP52)&lt;IF(AND($B$3="Stage 2",$B$5=20,AP52=$E$5,$A52&lt;=IF($B$8="One Keeper",$B$5,$B$8)),2,IF(AND(OR($B$3="Stage 2",AND($B$3="Stage 3",OR($B$15="Year 10-11-12 Girls"))),AP52=$E$5,$A52&lt;=IF($B$8="One Keeper",$B$5,$B$8)),3,$B$9)))))))</f>
        <v>0</v>
      </c>
      <c r="BD52" s="20" t="b">
        <f>IF(AQ52="",FALSE,AND(AQ52&lt;&gt;$B52,AQ52&lt;&gt;$C51,IFERROR(INDEX($E$18:$E$30,MATCH(AQ52,$B$18:$B$30,0)),"No")="Yes",IF(AND(OR($B$3="Stage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Girls"))),$B$5&gt;20),MIN(3,MAX(2,Setup!$B$14)),2))*2),AQ52=$E$5,IF(AND(OR($B$3="Stage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Girls"))),$B$5&gt;20),MIN(3,MAX(2,Setup!$B$14)),2))*2-1))),AQ52=$E$4,TRUE)),COUNTIF($C$32:$C51,AQ52)&lt;$B$6,IF($BI52,COUNTIF($C$32:$C51,AQ52)&lt;IF($B$3="Stage 1",MIN($B$6,MAX(1,INT($B$5/$B$11))),IF(AND($B$3="Stage 3",$B$5=20,$B$11&gt;11),1,IF(AND($B$3="Stage 3",OR($B$15="Year 10-11-12 Girls"),$B$5&gt;20),MAX(2,Setup!$B$14),Setup!$B$14))),IF(AND($B$3&lt;&gt;"Stage 2",$B$3&lt;&gt;"Stage 3"),TRUE,IF($U52,TRUE,COUNTIF($C$32:$C51,AQ52)&lt;IF(AND($B$3="Stage 2",$B$5=20,AQ52=$E$5,$A52&lt;=IF($B$8="One Keeper",$B$5,$B$8)),2,IF(AND(OR($B$3="Stage 2",AND($B$3="Stage 3",OR($B$15="Year 10-11-12 Girls"))),AQ52=$E$5,$A52&lt;=IF($B$8="One Keeper",$B$5,$B$8)),3,$B$9)))))))</f>
        <v>0</v>
      </c>
      <c r="BE52" s="20" t="b">
        <f>IF(AR52="",FALSE,AND(AR52&lt;&gt;$B52,AR52&lt;&gt;$C51,IFERROR(INDEX($E$18:$E$30,MATCH(AR52,$B$18:$B$30,0)),"No")="Yes",IF(AND(OR($B$3="Stage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Girls"))),$B$5&gt;20),MIN(3,MAX(2,Setup!$B$14)),2))*2),AR52=$E$5,IF(AND(OR($B$3="Stage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Girls"))),$B$5&gt;20),MIN(3,MAX(2,Setup!$B$14)),2))*2-1))),AR52=$E$4,TRUE)),COUNTIF($C$32:$C51,AR52)&lt;$B$6,IF($BI52,COUNTIF($C$32:$C51,AR52)&lt;IF($B$3="Stage 1",MIN($B$6,MAX(1,INT($B$5/$B$11))),IF(AND($B$3="Stage 3",$B$5=20,$B$11&gt;11),1,IF(AND($B$3="Stage 3",OR($B$15="Year 10-11-12 Girls"),$B$5&gt;20),MAX(2,Setup!$B$14),Setup!$B$14))),IF(AND($B$3&lt;&gt;"Stage 2",$B$3&lt;&gt;"Stage 3"),TRUE,IF($U52,TRUE,COUNTIF($C$32:$C51,AR52)&lt;IF(AND($B$3="Stage 2",$B$5=20,AR52=$E$5,$A52&lt;=IF($B$8="One Keeper",$B$5,$B$8)),2,IF(AND(OR($B$3="Stage 2",AND($B$3="Stage 3",OR($B$15="Year 10-11-12 Girls"))),AR52=$E$5,$A52&lt;=IF($B$8="One Keeper",$B$5,$B$8)),3,$B$9)))))))</f>
        <v>0</v>
      </c>
      <c r="BF52" s="20" t="b">
        <f>IF(AS52="",FALSE,AND(AS52&lt;&gt;$B52,AS52&lt;&gt;$C51,IFERROR(INDEX($E$18:$E$30,MATCH(AS52,$B$18:$B$30,0)),"No")="Yes",IF(AND(OR($B$3="Stage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Girls"))),$B$5&gt;20),MIN(3,MAX(2,Setup!$B$14)),2))*2),AS52=$E$5,IF(AND(OR($B$3="Stage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Girls"))),$B$5&gt;20),MIN(3,MAX(2,Setup!$B$14)),2))*2-1))),AS52=$E$4,TRUE)),COUNTIF($C$32:$C51,AS52)&lt;$B$6,IF($BI52,COUNTIF($C$32:$C51,AS52)&lt;IF($B$3="Stage 1",MIN($B$6,MAX(1,INT($B$5/$B$11))),IF(AND($B$3="Stage 3",$B$5=20,$B$11&gt;11),1,IF(AND($B$3="Stage 3",OR($B$15="Year 10-11-12 Girls"),$B$5&gt;20),MAX(2,Setup!$B$14),Setup!$B$14))),IF(AND($B$3&lt;&gt;"Stage 2",$B$3&lt;&gt;"Stage 3"),TRUE,IF($U52,TRUE,COUNTIF($C$32:$C51,AS52)&lt;IF(AND($B$3="Stage 2",$B$5=20,AS52=$E$5,$A52&lt;=IF($B$8="One Keeper",$B$5,$B$8)),2,IF(AND(OR($B$3="Stage 2",AND($B$3="Stage 3",OR($B$15="Year 10-11-12 Girls"))),AS52=$E$5,$A52&lt;=IF($B$8="One Keeper",$B$5,$B$8)),3,$B$9)))))))</f>
        <v>0</v>
      </c>
      <c r="BG52" s="20" t="b">
        <f>IF(AT52="",FALSE,AND(AT52&lt;&gt;$B52,AT52&lt;&gt;$C51,IFERROR(INDEX($E$18:$E$30,MATCH(AT52,$B$18:$B$30,0)),"No")="Yes",IF(AND(OR($B$3="Stage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Girls"))),$B$5&gt;20),MIN(3,MAX(2,Setup!$B$14)),2))*2),AT52=$E$5,IF(AND(OR($B$3="Stage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Girls"))),$B$5&gt;20),MIN(3,MAX(2,Setup!$B$14)),2))*2-1))),AT52=$E$4,TRUE)),COUNTIF($C$32:$C51,AT52)&lt;$B$6,IF($BI52,COUNTIF($C$32:$C51,AT52)&lt;IF($B$3="Stage 1",MIN($B$6,MAX(1,INT($B$5/$B$11))),IF(AND($B$3="Stage 3",$B$5=20,$B$11&gt;11),1,IF(AND($B$3="Stage 3",OR($B$15="Year 10-11-12 Girls"),$B$5&gt;20),MAX(2,Setup!$B$14),Setup!$B$14))),IF(AND($B$3&lt;&gt;"Stage 2",$B$3&lt;&gt;"Stage 3"),TRUE,IF($U52,TRUE,COUNTIF($C$32:$C51,AT52)&lt;IF(AND($B$3="Stage 2",$B$5=20,AT52=$E$5,$A52&lt;=IF($B$8="One Keeper",$B$5,$B$8)),2,IF(AND(OR($B$3="Stage 2",AND($B$3="Stage 3",OR($B$15="Year 10-11-12 Girls"))),AT52=$E$5,$A52&lt;=IF($B$8="One Keeper",$B$5,$B$8)),3,$B$9)))))))</f>
        <v>0</v>
      </c>
      <c r="BH52" s="20" t="b">
        <f>IF(AU52="",FALSE,AND(AU52&lt;&gt;$B52,AU52&lt;&gt;$C51,IFERROR(INDEX($E$18:$E$30,MATCH(AU52,$B$18:$B$30,0)),"No")="Yes",IF(AND(OR($B$3="Stage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Girls"))),$B$5&gt;20),MIN(3,MAX(2,Setup!$B$14)),2))*2),AU52=$E$5,IF(AND(OR($B$3="Stage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Girls"))),$B$5&gt;20),MIN(3,MAX(2,Setup!$B$14)),2))*2-1))),AU52=$E$4,TRUE)),COUNTIF($C$32:$C51,AU52)&lt;$B$6,IF($BI52,COUNTIF($C$32:$C51,AU52)&lt;IF($B$3="Stage 1",MIN($B$6,MAX(1,INT($B$5/$B$11))),IF(AND($B$3="Stage 3",$B$5=20,$B$11&gt;11),1,IF(AND($B$3="Stage 3",OR($B$15="Year 10-11-12 Girls"),$B$5&gt;20),MAX(2,Setup!$B$14),Setup!$B$14))),IF(AND($B$3&lt;&gt;"Stage 2",$B$3&lt;&gt;"Stage 3"),TRUE,IF($U52,TRUE,COUNTIF($C$32:$C51,AU52)&lt;IF(AND($B$3="Stage 2",$B$5=20,AU52=$E$5,$A52&lt;=IF($B$8="One Keeper",$B$5,$B$8)),2,IF(AND(OR($B$3="Stage 2",AND($B$3="Stage 3",OR($B$15="Year 10-11-12 Girls"))),AU52=$E$5,$A52&lt;=IF($B$8="One Keeper",$B$5,$B$8)),3,$B$9)))))))</f>
        <v>0</v>
      </c>
      <c r="BI52"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Keeper",$E$4&lt;&gt;$E$5,$A52&lt;=IF($B$8="One Keeper",$B$5,$B$8),COUNTIF($C$32:$C51,$E$5)&lt;IF(AND($B$3="Stage 3",$B$5=20,$B$11&gt;11),1,IF(AND(OR($B$3="Stage 2",AND($B$3="Stage 3",OR($B$15="Year 10-11-12 Girls"))),$B$5&gt;20),MIN(3,MAX(2,Setup!$B$14)),2)),IFERROR(INDEX($E$18:$E$30,MATCH($E$5,$B$18:$B$30,0)),"No")="Yes",$C51&lt;&gt;$E$5,MOD($A52,2)=0,$A52&lt;=IF(AND($B$3="Stage 3",$B$5=20,$B$11&gt;11),1,IF(AND(OR($B$3="Stage 2",AND($B$3="Stage 3",OR($B$15="Year 10-11-12 Girls"))),$B$5&gt;20),MIN(3,MAX(2,Setup!$B$14)),2))*2),AND(OR($B$3="Stage 1",$B$3="Stage 2",AND($B$3="Stage 3",OR(OR($B$15="Year 10-11-12 Girls"),OR($B$15="Year 8 Boys",$B$15="Year 9 Boys",$B$15="Year 10-11 Boys")))),$B$8&lt;&gt;"One Keeper",$E$4&lt;&gt;$E$5,$A52&gt;IF($B$8="One Keeper",$B$5,$B$8),COUNTIF($C$32:$C51,$E$4)&lt;IF(AND($B$3="Stage 3",$B$5=20,$B$11&gt;11),1,IF(AND(OR($B$3="Stage 2",AND($B$3="Stage 3",OR($B$15="Year 10-11-12 Girls"))),$B$5&gt;20),MIN(3,MAX(2,Setup!$B$14)),2)),IFERROR(INDEX($E$18:$E$30,MATCH($E$4,$B$18:$B$30,0)),"No")="Yes",$C51&lt;&gt;$E$4,IF($B$7="Three-over spell",AND(MOD($A52-IF($B$8="One Keeper",$B$5,$B$8)-1,3)=0,($A52-IF($B$8="One Keeper",$B$5,$B$8))&lt;=1+(IF(AND($B$3="Stage 3",$B$5=20,$B$11&gt;11),1,IF(AND(OR($B$3="Stage 2",AND($B$3="Stage 3",OR($B$15="Year 10-11-12 Girls"))),$B$5&gt;20),MIN(3,MAX(2,Setup!$B$14)),2))-1)*3),AND(MOD($A52-IF($B$8="One Keeper",$B$5,$B$8),2)=1,($A52-IF($B$8="One Keeper",$B$5,$B$8))&lt;=IF(AND($B$3="Stage 3",$B$5=20,$B$11&gt;11),1,IF(AND(OR($B$3="Stage 2",AND($B$3="Stage 3",OR($B$15="Year 10-11-12 Girls"))),$B$5&gt;20),MIN(3,MAX(2,Setup!$B$14)),2))*2-1))))),OR($U52,AND($B$3="Stage 3",$B$5=20,$B$11&gt;11)),OR($BJ52,$BK52,$BL52,$BM52,$BN52,$BO52,$BP52,$BQ52,$BR52,$BS52,$BT52,$BU52,$BV52))</f>
        <v>0</v>
      </c>
      <c r="BJ52" s="20" t="b">
        <f>IF(AI52="",FALSE,AND(AI52&lt;&gt;IF(AND($B$3="Stage 3",OR($B$15="Year 8 Boys",$B$15="Year 9 Boys",$B$15="Year 10-11 Boys"),$B$8="One Keeper"),$E$4,""),AI52&lt;&gt;$B52,AI52&lt;&gt;$C51,IFERROR(INDEX($E$18:$E$30,MATCH(AI52,$B$18:$B$30,0)),"No")="Yes",COUNTIF($C$32:$C51,AI52)&lt;$B$6,COUNTIF($C$32:$C51,AI52)&lt;IF($B$3="Stage 1",MIN($B$6,MAX(1,INT($B$5/$B$11))),IF(AND($B$3="Stage 3",$B$5=20,$B$11&gt;11),1,IF(AND($B$3="Stage 3",OR($B$15="Year 10-11-12 Girls"),$B$5&gt;20),MAX(2,Setup!$B$14),Setup!$B$14)))))</f>
        <v>0</v>
      </c>
      <c r="BK52" s="20" t="b">
        <f>IF(AJ52="",FALSE,AND(AJ52&lt;&gt;IF(AND($B$3="Stage 3",OR($B$15="Year 8 Boys",$B$15="Year 9 Boys",$B$15="Year 10-11 Boys"),$B$8="One Keeper"),$E$4,""),AJ52&lt;&gt;$B52,AJ52&lt;&gt;$C51,IFERROR(INDEX($E$18:$E$30,MATCH(AJ52,$B$18:$B$30,0)),"No")="Yes",COUNTIF($C$32:$C51,AJ52)&lt;$B$6,COUNTIF($C$32:$C51,AJ52)&lt;IF($B$3="Stage 1",MIN($B$6,MAX(1,INT($B$5/$B$11))),IF(AND($B$3="Stage 3",$B$5=20,$B$11&gt;11),1,IF(AND($B$3="Stage 3",OR($B$15="Year 10-11-12 Girls"),$B$5&gt;20),MAX(2,Setup!$B$14),Setup!$B$14)))))</f>
        <v>0</v>
      </c>
      <c r="BL52" s="20" t="b">
        <f>IF(AK52="",FALSE,AND(AK52&lt;&gt;IF(AND($B$3="Stage 3",OR($B$15="Year 8 Boys",$B$15="Year 9 Boys",$B$15="Year 10-11 Boys"),$B$8="One Keeper"),$E$4,""),AK52&lt;&gt;$B52,AK52&lt;&gt;$C51,IFERROR(INDEX($E$18:$E$30,MATCH(AK52,$B$18:$B$30,0)),"No")="Yes",COUNTIF($C$32:$C51,AK52)&lt;$B$6,COUNTIF($C$32:$C51,AK52)&lt;IF($B$3="Stage 1",MIN($B$6,MAX(1,INT($B$5/$B$11))),IF(AND($B$3="Stage 3",$B$5=20,$B$11&gt;11),1,IF(AND($B$3="Stage 3",OR($B$15="Year 10-11-12 Girls"),$B$5&gt;20),MAX(2,Setup!$B$14),Setup!$B$14)))))</f>
        <v>0</v>
      </c>
      <c r="BM52" s="20" t="b">
        <f>IF(AL52="",FALSE,AND(AL52&lt;&gt;IF(AND($B$3="Stage 3",OR($B$15="Year 8 Boys",$B$15="Year 9 Boys",$B$15="Year 10-11 Boys"),$B$8="One Keeper"),$E$4,""),AL52&lt;&gt;$B52,AL52&lt;&gt;$C51,IFERROR(INDEX($E$18:$E$30,MATCH(AL52,$B$18:$B$30,0)),"No")="Yes",COUNTIF($C$32:$C51,AL52)&lt;$B$6,COUNTIF($C$32:$C51,AL52)&lt;IF($B$3="Stage 1",MIN($B$6,MAX(1,INT($B$5/$B$11))),IF(AND($B$3="Stage 3",$B$5=20,$B$11&gt;11),1,IF(AND($B$3="Stage 3",OR($B$15="Year 10-11-12 Girls"),$B$5&gt;20),MAX(2,Setup!$B$14),Setup!$B$14)))))</f>
        <v>0</v>
      </c>
      <c r="BN52" s="20" t="b">
        <f>IF(AM52="",FALSE,AND(AM52&lt;&gt;IF(AND($B$3="Stage 3",OR($B$15="Year 8 Boys",$B$15="Year 9 Boys",$B$15="Year 10-11 Boys"),$B$8="One Keeper"),$E$4,""),AM52&lt;&gt;$B52,AM52&lt;&gt;$C51,IFERROR(INDEX($E$18:$E$30,MATCH(AM52,$B$18:$B$30,0)),"No")="Yes",COUNTIF($C$32:$C51,AM52)&lt;$B$6,COUNTIF($C$32:$C51,AM52)&lt;IF($B$3="Stage 1",MIN($B$6,MAX(1,INT($B$5/$B$11))),IF(AND($B$3="Stage 3",$B$5=20,$B$11&gt;11),1,IF(AND($B$3="Stage 3",OR($B$15="Year 10-11-12 Girls"),$B$5&gt;20),MAX(2,Setup!$B$14),Setup!$B$14)))))</f>
        <v>0</v>
      </c>
      <c r="BO52" s="20" t="b">
        <f>IF(AN52="",FALSE,AND(AN52&lt;&gt;IF(AND($B$3="Stage 3",OR($B$15="Year 8 Boys",$B$15="Year 9 Boys",$B$15="Year 10-11 Boys"),$B$8="One Keeper"),$E$4,""),AN52&lt;&gt;$B52,AN52&lt;&gt;$C51,IFERROR(INDEX($E$18:$E$30,MATCH(AN52,$B$18:$B$30,0)),"No")="Yes",COUNTIF($C$32:$C51,AN52)&lt;$B$6,COUNTIF($C$32:$C51,AN52)&lt;IF($B$3="Stage 1",MIN($B$6,MAX(1,INT($B$5/$B$11))),IF(AND($B$3="Stage 3",$B$5=20,$B$11&gt;11),1,IF(AND($B$3="Stage 3",OR($B$15="Year 10-11-12 Girls"),$B$5&gt;20),MAX(2,Setup!$B$14),Setup!$B$14)))))</f>
        <v>0</v>
      </c>
      <c r="BP52" s="20" t="b">
        <f>IF(AO52="",FALSE,AND(AO52&lt;&gt;IF(AND($B$3="Stage 3",OR($B$15="Year 8 Boys",$B$15="Year 9 Boys",$B$15="Year 10-11 Boys"),$B$8="One Keeper"),$E$4,""),AO52&lt;&gt;$B52,AO52&lt;&gt;$C51,IFERROR(INDEX($E$18:$E$30,MATCH(AO52,$B$18:$B$30,0)),"No")="Yes",COUNTIF($C$32:$C51,AO52)&lt;$B$6,COUNTIF($C$32:$C51,AO52)&lt;IF($B$3="Stage 1",MIN($B$6,MAX(1,INT($B$5/$B$11))),IF(AND($B$3="Stage 3",$B$5=20,$B$11&gt;11),1,IF(AND($B$3="Stage 3",OR($B$15="Year 10-11-12 Girls"),$B$5&gt;20),MAX(2,Setup!$B$14),Setup!$B$14)))))</f>
        <v>0</v>
      </c>
      <c r="BQ52" s="20" t="b">
        <f>IF(AP52="",FALSE,AND(AP52&lt;&gt;IF(AND($B$3="Stage 3",OR($B$15="Year 8 Boys",$B$15="Year 9 Boys",$B$15="Year 10-11 Boys"),$B$8="One Keeper"),$E$4,""),AP52&lt;&gt;$B52,AP52&lt;&gt;$C51,IFERROR(INDEX($E$18:$E$30,MATCH(AP52,$B$18:$B$30,0)),"No")="Yes",COUNTIF($C$32:$C51,AP52)&lt;$B$6,COUNTIF($C$32:$C51,AP52)&lt;IF($B$3="Stage 1",MIN($B$6,MAX(1,INT($B$5/$B$11))),IF(AND($B$3="Stage 3",$B$5=20,$B$11&gt;11),1,IF(AND($B$3="Stage 3",OR($B$15="Year 10-11-12 Girls"),$B$5&gt;20),MAX(2,Setup!$B$14),Setup!$B$14)))))</f>
        <v>0</v>
      </c>
      <c r="BR52" s="20" t="b">
        <f>IF(AQ52="",FALSE,AND(AQ52&lt;&gt;IF(AND($B$3="Stage 3",OR($B$15="Year 8 Boys",$B$15="Year 9 Boys",$B$15="Year 10-11 Boys"),$B$8="One Keeper"),$E$4,""),AQ52&lt;&gt;$B52,AQ52&lt;&gt;$C51,IFERROR(INDEX($E$18:$E$30,MATCH(AQ52,$B$18:$B$30,0)),"No")="Yes",COUNTIF($C$32:$C51,AQ52)&lt;$B$6,COUNTIF($C$32:$C51,AQ52)&lt;IF($B$3="Stage 1",MIN($B$6,MAX(1,INT($B$5/$B$11))),IF(AND($B$3="Stage 3",$B$5=20,$B$11&gt;11),1,IF(AND($B$3="Stage 3",OR($B$15="Year 10-11-12 Girls"),$B$5&gt;20),MAX(2,Setup!$B$14),Setup!$B$14)))))</f>
        <v>0</v>
      </c>
      <c r="BS52" s="20" t="b">
        <f>IF(AR52="",FALSE,AND(AR52&lt;&gt;IF(AND($B$3="Stage 3",OR($B$15="Year 8 Boys",$B$15="Year 9 Boys",$B$15="Year 10-11 Boys"),$B$8="One Keeper"),$E$4,""),AR52&lt;&gt;$B52,AR52&lt;&gt;$C51,IFERROR(INDEX($E$18:$E$30,MATCH(AR52,$B$18:$B$30,0)),"No")="Yes",COUNTIF($C$32:$C51,AR52)&lt;$B$6,COUNTIF($C$32:$C51,AR52)&lt;IF($B$3="Stage 1",MIN($B$6,MAX(1,INT($B$5/$B$11))),IF(AND($B$3="Stage 3",$B$5=20,$B$11&gt;11),1,IF(AND($B$3="Stage 3",OR($B$15="Year 10-11-12 Girls"),$B$5&gt;20),MAX(2,Setup!$B$14),Setup!$B$14)))))</f>
        <v>0</v>
      </c>
      <c r="BT52" s="20" t="b">
        <f>IF(AS52="",FALSE,AND(AS52&lt;&gt;IF(AND($B$3="Stage 3",OR($B$15="Year 8 Boys",$B$15="Year 9 Boys",$B$15="Year 10-11 Boys"),$B$8="One Keeper"),$E$4,""),AS52&lt;&gt;$B52,AS52&lt;&gt;$C51,IFERROR(INDEX($E$18:$E$30,MATCH(AS52,$B$18:$B$30,0)),"No")="Yes",COUNTIF($C$32:$C51,AS52)&lt;$B$6,COUNTIF($C$32:$C51,AS52)&lt;IF($B$3="Stage 1",MIN($B$6,MAX(1,INT($B$5/$B$11))),IF(AND($B$3="Stage 3",$B$5=20,$B$11&gt;11),1,IF(AND($B$3="Stage 3",OR($B$15="Year 10-11-12 Girls"),$B$5&gt;20),MAX(2,Setup!$B$14),Setup!$B$14)))))</f>
        <v>0</v>
      </c>
      <c r="BU52" s="20" t="b">
        <f>IF(AT52="",FALSE,AND(AT52&lt;&gt;IF(AND($B$3="Stage 3",OR($B$15="Year 8 Boys",$B$15="Year 9 Boys",$B$15="Year 10-11 Boys"),$B$8="One Keeper"),$E$4,""),AT52&lt;&gt;$B52,AT52&lt;&gt;$C51,IFERROR(INDEX($E$18:$E$30,MATCH(AT52,$B$18:$B$30,0)),"No")="Yes",COUNTIF($C$32:$C51,AT52)&lt;$B$6,COUNTIF($C$32:$C51,AT52)&lt;IF($B$3="Stage 1",MIN($B$6,MAX(1,INT($B$5/$B$11))),IF(AND($B$3="Stage 3",$B$5=20,$B$11&gt;11),1,IF(AND($B$3="Stage 3",OR($B$15="Year 10-11-12 Girls"),$B$5&gt;20),MAX(2,Setup!$B$14),Setup!$B$14)))))</f>
        <v>0</v>
      </c>
      <c r="BV52" s="20" t="b">
        <f>IF(AU52="",FALSE,AND(AU52&lt;&gt;IF(AND($B$3="Stage 3",OR($B$15="Year 8 Boys",$B$15="Year 9 Boys",$B$15="Year 10-11 Boys"),$B$8="One Keeper"),$E$4,""),AU52&lt;&gt;$B52,AU52&lt;&gt;$C51,IFERROR(INDEX($E$18:$E$30,MATCH(AU52,$B$18:$B$30,0)),"No")="Yes",COUNTIF($C$32:$C51,AU52)&lt;$B$6,COUNTIF($C$32:$C51,AU52)&lt;IF($B$3="Stage 1",MIN($B$6,MAX(1,INT($B$5/$B$11))),IF(AND($B$3="Stage 3",$B$5=20,$B$11&gt;11),1,IF(AND($B$3="Stage 3",OR($B$15="Year 10-11-12 Girls"),$B$5&gt;20),MAX(2,Setup!$B$14),Setup!$B$14)))))</f>
        <v>0</v>
      </c>
      <c r="BW52" s="20"/>
      <c r="BX52" s="20"/>
      <c r="BY52" s="20"/>
      <c r="BZ52" s="20"/>
      <c r="CA52" s="20"/>
      <c r="CB52" s="20"/>
      <c r="CC52" s="20"/>
      <c r="CD52" s="20"/>
      <c r="CE52" s="20"/>
      <c r="CF52" s="20"/>
      <c r="CG52" s="20"/>
      <c r="CH52" s="20"/>
      <c r="CI52" s="20"/>
      <c r="CJ52" s="20"/>
      <c r="CK52" s="20"/>
    </row>
    <row r="53" spans="1:89" ht="15" customHeight="1">
      <c r="A53" s="18">
        <v>22</v>
      </c>
      <c r="B53" s="18" t="str">
        <f t="shared" si="5"/>
        <v/>
      </c>
      <c r="C53" s="18" t="str">
        <f t="shared" si="6"/>
        <v/>
      </c>
      <c r="D53" s="18">
        <f t="shared" si="7"/>
        <v>8</v>
      </c>
      <c r="E53" s="18" t="str">
        <f>IF($C53="","",COUNTIF($C$32:C53,$C53))</f>
        <v/>
      </c>
      <c r="F53" s="18" t="str">
        <f t="shared" si="8"/>
        <v/>
      </c>
      <c r="T53" s="20" t="str">
        <f t="shared" si="15"/>
        <v/>
      </c>
      <c r="U53" s="20" t="b">
        <f>IF(OR($B$3="Stage 2",AND($B$3="Stage 3",OR($B$15="Year 10-11-12 Girls"))),(IF(AND($P$18&lt;&gt;"",$P$18&lt;&gt;$E$4,COUNTIF($C$32:$C52,$P$18)&gt;=2),1,0)+IF(AND($P$19&lt;&gt;"",$P$19&lt;&gt;$E$4,COUNTIF($C$32:$C52,$P$19)&gt;=2),1,0)+IF(AND($P$20&lt;&gt;"",$P$20&lt;&gt;$E$4,COUNTIF($C$32:$C52,$P$20)&gt;=2),1,0)+IF(AND($P$21&lt;&gt;"",$P$21&lt;&gt;$E$4,COUNTIF($C$32:$C52,$P$21)&gt;=2),1,0)+IF(AND($P$22&lt;&gt;"",$P$22&lt;&gt;$E$4,COUNTIF($C$32:$C52,$P$22)&gt;=2),1,0)+IF(AND($P$23&lt;&gt;"",$P$23&lt;&gt;$E$4,COUNTIF($C$32:$C52,$P$23)&gt;=2),1,0)+IF(AND($P$24&lt;&gt;"",$P$24&lt;&gt;$E$4,COUNTIF($C$32:$C52,$P$24)&gt;=2),1,0)+IF(AND($P$25&lt;&gt;"",$P$25&lt;&gt;$E$4,COUNTIF($C$32:$C52,$P$25)&gt;=2),1,0)+IF(AND($P$26&lt;&gt;"",$P$26&lt;&gt;$E$4,COUNTIF($C$32:$C52,$P$26)&gt;=2),1,0)+IF(AND($P$27&lt;&gt;"",$P$27&lt;&gt;$E$4,COUNTIF($C$32:$C52,$P$27)&gt;=2),1,0)+IF(AND($P$28&lt;&gt;"",$P$28&lt;&gt;$E$4,COUNTIF($C$32:$C52,$P$28)&gt;=2),1,0)+IF(AND($P$29&lt;&gt;"",$P$29&lt;&gt;$E$4,COUNTIF($C$32:$C52,$P$29)&gt;=2),1,0)+IF(AND($P$30&lt;&gt;"",$P$30&lt;&gt;$E$4,COUNTIF($C$32:$C52,$P$30)&gt;=2),1,0))&gt;=MAX(0,$B$11-1),IF(AND($B$3="Stage 3",OR($B$15="Year 8 Boys",$B$15="Year 9 Boys",$B$15="Year 10-11 Boys")),(IF(AND($P$18&lt;&gt;"",COUNTIF($C$32:$C52,$P$18)&gt;=2),1,0)+IF(AND($P$19&lt;&gt;"",COUNTIF($C$32:$C52,$P$19)&gt;=2),1,0)+IF(AND($P$20&lt;&gt;"",COUNTIF($C$32:$C52,$P$20)&gt;=2),1,0)+IF(AND($P$21&lt;&gt;"",COUNTIF($C$32:$C52,$P$21)&gt;=2),1,0)+IF(AND($P$22&lt;&gt;"",COUNTIF($C$32:$C52,$P$22)&gt;=2),1,0)+IF(AND($P$23&lt;&gt;"",COUNTIF($C$32:$C52,$P$23)&gt;=2),1,0)+IF(AND($P$24&lt;&gt;"",COUNTIF($C$32:$C52,$P$24)&gt;=2),1,0)+IF(AND($P$25&lt;&gt;"",COUNTIF($C$32:$C52,$P$25)&gt;=2),1,0)+IF(AND($P$26&lt;&gt;"",COUNTIF($C$32:$C52,$P$26)&gt;=2),1,0)+IF(AND($P$27&lt;&gt;"",COUNTIF($C$32:$C52,$P$27)&gt;=2),1,0)+IF(AND($P$28&lt;&gt;"",COUNTIF($C$32:$C52,$P$28)&gt;=2),1,0)+IF(AND($P$29&lt;&gt;"",COUNTIF($C$32:$C52,$P$29)&gt;=2),1,0)+IF(AND($P$30&lt;&gt;"",COUNTIF($C$32:$C52,$P$30)&gt;=2),1,0))&gt;=7,TRUE))</f>
        <v>1</v>
      </c>
      <c r="V53" s="20" t="str">
        <f t="shared" si="31"/>
        <v/>
      </c>
      <c r="W53" s="20" t="str">
        <f t="shared" si="31"/>
        <v/>
      </c>
      <c r="X53" s="20" t="str">
        <f t="shared" si="31"/>
        <v/>
      </c>
      <c r="Y53" s="20" t="str">
        <f t="shared" si="31"/>
        <v/>
      </c>
      <c r="Z53" s="20" t="str">
        <f t="shared" si="31"/>
        <v/>
      </c>
      <c r="AA53" s="20" t="str">
        <f t="shared" si="31"/>
        <v/>
      </c>
      <c r="AB53" s="20" t="str">
        <f t="shared" si="31"/>
        <v/>
      </c>
      <c r="AC53" s="20" t="str">
        <f t="shared" si="31"/>
        <v/>
      </c>
      <c r="AD53" s="20" t="str">
        <f t="shared" si="31"/>
        <v/>
      </c>
      <c r="AE53" s="20" t="str">
        <f t="shared" si="31"/>
        <v/>
      </c>
      <c r="AF53" s="20" t="str">
        <f t="shared" si="31"/>
        <v/>
      </c>
      <c r="AG53" s="20" t="str">
        <f t="shared" si="31"/>
        <v/>
      </c>
      <c r="AH53" s="20" t="str">
        <f t="shared" si="31"/>
        <v/>
      </c>
      <c r="AI53" s="20" t="str">
        <f t="shared" si="17"/>
        <v/>
      </c>
      <c r="AJ53" s="20" t="str">
        <f t="shared" si="18"/>
        <v/>
      </c>
      <c r="AK53" s="20" t="str">
        <f t="shared" si="19"/>
        <v/>
      </c>
      <c r="AL53" s="20" t="str">
        <f t="shared" si="20"/>
        <v/>
      </c>
      <c r="AM53" s="20" t="str">
        <f t="shared" si="21"/>
        <v/>
      </c>
      <c r="AN53" s="20" t="str">
        <f t="shared" si="22"/>
        <v/>
      </c>
      <c r="AO53" s="20" t="str">
        <f t="shared" si="23"/>
        <v/>
      </c>
      <c r="AP53" s="20" t="str">
        <f t="shared" si="24"/>
        <v/>
      </c>
      <c r="AQ53" s="20" t="str">
        <f t="shared" si="25"/>
        <v/>
      </c>
      <c r="AR53" s="20" t="str">
        <f t="shared" si="26"/>
        <v/>
      </c>
      <c r="AS53" s="20" t="str">
        <f t="shared" si="27"/>
        <v/>
      </c>
      <c r="AT53" s="20" t="str">
        <f t="shared" si="28"/>
        <v/>
      </c>
      <c r="AU53" s="20" t="str">
        <f t="shared" si="29"/>
        <v/>
      </c>
      <c r="AV53" s="20" t="b">
        <f>IF(AI53="",FALSE,AND(AI53&lt;&gt;$B53,AI53&lt;&gt;$C52,IFERROR(INDEX($E$18:$E$30,MATCH(AI53,$B$18:$B$30,0)),"No")="Yes",IF(AND(OR($B$3="Stage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Girls"))),$B$5&gt;20),MIN(3,MAX(2,Setup!$B$14)),2))*2),AI53=$E$5,IF(AND(OR($B$3="Stage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Girls"))),$B$5&gt;20),MIN(3,MAX(2,Setup!$B$14)),2))*2-1))),AI53=$E$4,TRUE)),COUNTIF($C$32:$C52,AI53)&lt;$B$6,IF($BI53,COUNTIF($C$32:$C52,AI53)&lt;IF($B$3="Stage 1",MIN($B$6,MAX(1,INT($B$5/$B$11))),IF(AND($B$3="Stage 3",$B$5=20,$B$11&gt;11),1,IF(AND($B$3="Stage 3",OR($B$15="Year 10-11-12 Girls"),$B$5&gt;20),MAX(2,Setup!$B$14),Setup!$B$14))),IF(AND($B$3&lt;&gt;"Stage 2",$B$3&lt;&gt;"Stage 3"),TRUE,IF($U53,TRUE,COUNTIF($C$32:$C52,AI53)&lt;IF(AND($B$3="Stage 2",$B$5=20,AI53=$E$5,$A53&lt;=IF($B$8="One Keeper",$B$5,$B$8)),2,IF(AND(OR($B$3="Stage 2",AND($B$3="Stage 3",OR($B$15="Year 10-11-12 Girls"))),AI53=$E$5,$A53&lt;=IF($B$8="One Keeper",$B$5,$B$8)),3,$B$9)))))))</f>
        <v>0</v>
      </c>
      <c r="AW53" s="20" t="b">
        <f>IF(AJ53="",FALSE,AND(AJ53&lt;&gt;$B53,AJ53&lt;&gt;$C52,IFERROR(INDEX($E$18:$E$30,MATCH(AJ53,$B$18:$B$30,0)),"No")="Yes",IF(AND(OR($B$3="Stage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Girls"))),$B$5&gt;20),MIN(3,MAX(2,Setup!$B$14)),2))*2),AJ53=$E$5,IF(AND(OR($B$3="Stage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Girls"))),$B$5&gt;20),MIN(3,MAX(2,Setup!$B$14)),2))*2-1))),AJ53=$E$4,TRUE)),COUNTIF($C$32:$C52,AJ53)&lt;$B$6,IF($BI53,COUNTIF($C$32:$C52,AJ53)&lt;IF($B$3="Stage 1",MIN($B$6,MAX(1,INT($B$5/$B$11))),IF(AND($B$3="Stage 3",$B$5=20,$B$11&gt;11),1,IF(AND($B$3="Stage 3",OR($B$15="Year 10-11-12 Girls"),$B$5&gt;20),MAX(2,Setup!$B$14),Setup!$B$14))),IF(AND($B$3&lt;&gt;"Stage 2",$B$3&lt;&gt;"Stage 3"),TRUE,IF($U53,TRUE,COUNTIF($C$32:$C52,AJ53)&lt;IF(AND($B$3="Stage 2",$B$5=20,AJ53=$E$5,$A53&lt;=IF($B$8="One Keeper",$B$5,$B$8)),2,IF(AND(OR($B$3="Stage 2",AND($B$3="Stage 3",OR($B$15="Year 10-11-12 Girls"))),AJ53=$E$5,$A53&lt;=IF($B$8="One Keeper",$B$5,$B$8)),3,$B$9)))))))</f>
        <v>0</v>
      </c>
      <c r="AX53" s="20" t="b">
        <f>IF(AK53="",FALSE,AND(AK53&lt;&gt;$B53,AK53&lt;&gt;$C52,IFERROR(INDEX($E$18:$E$30,MATCH(AK53,$B$18:$B$30,0)),"No")="Yes",IF(AND(OR($B$3="Stage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Girls"))),$B$5&gt;20),MIN(3,MAX(2,Setup!$B$14)),2))*2),AK53=$E$5,IF(AND(OR($B$3="Stage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Girls"))),$B$5&gt;20),MIN(3,MAX(2,Setup!$B$14)),2))*2-1))),AK53=$E$4,TRUE)),COUNTIF($C$32:$C52,AK53)&lt;$B$6,IF($BI53,COUNTIF($C$32:$C52,AK53)&lt;IF($B$3="Stage 1",MIN($B$6,MAX(1,INT($B$5/$B$11))),IF(AND($B$3="Stage 3",$B$5=20,$B$11&gt;11),1,IF(AND($B$3="Stage 3",OR($B$15="Year 10-11-12 Girls"),$B$5&gt;20),MAX(2,Setup!$B$14),Setup!$B$14))),IF(AND($B$3&lt;&gt;"Stage 2",$B$3&lt;&gt;"Stage 3"),TRUE,IF($U53,TRUE,COUNTIF($C$32:$C52,AK53)&lt;IF(AND($B$3="Stage 2",$B$5=20,AK53=$E$5,$A53&lt;=IF($B$8="One Keeper",$B$5,$B$8)),2,IF(AND(OR($B$3="Stage 2",AND($B$3="Stage 3",OR($B$15="Year 10-11-12 Girls"))),AK53=$E$5,$A53&lt;=IF($B$8="One Keeper",$B$5,$B$8)),3,$B$9)))))))</f>
        <v>0</v>
      </c>
      <c r="AY53" s="20" t="b">
        <f>IF(AL53="",FALSE,AND(AL53&lt;&gt;$B53,AL53&lt;&gt;$C52,IFERROR(INDEX($E$18:$E$30,MATCH(AL53,$B$18:$B$30,0)),"No")="Yes",IF(AND(OR($B$3="Stage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Girls"))),$B$5&gt;20),MIN(3,MAX(2,Setup!$B$14)),2))*2),AL53=$E$5,IF(AND(OR($B$3="Stage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Girls"))),$B$5&gt;20),MIN(3,MAX(2,Setup!$B$14)),2))*2-1))),AL53=$E$4,TRUE)),COUNTIF($C$32:$C52,AL53)&lt;$B$6,IF($BI53,COUNTIF($C$32:$C52,AL53)&lt;IF($B$3="Stage 1",MIN($B$6,MAX(1,INT($B$5/$B$11))),IF(AND($B$3="Stage 3",$B$5=20,$B$11&gt;11),1,IF(AND($B$3="Stage 3",OR($B$15="Year 10-11-12 Girls"),$B$5&gt;20),MAX(2,Setup!$B$14),Setup!$B$14))),IF(AND($B$3&lt;&gt;"Stage 2",$B$3&lt;&gt;"Stage 3"),TRUE,IF($U53,TRUE,COUNTIF($C$32:$C52,AL53)&lt;IF(AND($B$3="Stage 2",$B$5=20,AL53=$E$5,$A53&lt;=IF($B$8="One Keeper",$B$5,$B$8)),2,IF(AND(OR($B$3="Stage 2",AND($B$3="Stage 3",OR($B$15="Year 10-11-12 Girls"))),AL53=$E$5,$A53&lt;=IF($B$8="One Keeper",$B$5,$B$8)),3,$B$9)))))))</f>
        <v>0</v>
      </c>
      <c r="AZ53" s="20" t="b">
        <f>IF(AM53="",FALSE,AND(AM53&lt;&gt;$B53,AM53&lt;&gt;$C52,IFERROR(INDEX($E$18:$E$30,MATCH(AM53,$B$18:$B$30,0)),"No")="Yes",IF(AND(OR($B$3="Stage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Girls"))),$B$5&gt;20),MIN(3,MAX(2,Setup!$B$14)),2))*2),AM53=$E$5,IF(AND(OR($B$3="Stage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Girls"))),$B$5&gt;20),MIN(3,MAX(2,Setup!$B$14)),2))*2-1))),AM53=$E$4,TRUE)),COUNTIF($C$32:$C52,AM53)&lt;$B$6,IF($BI53,COUNTIF($C$32:$C52,AM53)&lt;IF($B$3="Stage 1",MIN($B$6,MAX(1,INT($B$5/$B$11))),IF(AND($B$3="Stage 3",$B$5=20,$B$11&gt;11),1,IF(AND($B$3="Stage 3",OR($B$15="Year 10-11-12 Girls"),$B$5&gt;20),MAX(2,Setup!$B$14),Setup!$B$14))),IF(AND($B$3&lt;&gt;"Stage 2",$B$3&lt;&gt;"Stage 3"),TRUE,IF($U53,TRUE,COUNTIF($C$32:$C52,AM53)&lt;IF(AND($B$3="Stage 2",$B$5=20,AM53=$E$5,$A53&lt;=IF($B$8="One Keeper",$B$5,$B$8)),2,IF(AND(OR($B$3="Stage 2",AND($B$3="Stage 3",OR($B$15="Year 10-11-12 Girls"))),AM53=$E$5,$A53&lt;=IF($B$8="One Keeper",$B$5,$B$8)),3,$B$9)))))))</f>
        <v>0</v>
      </c>
      <c r="BA53" s="20" t="b">
        <f>IF(AN53="",FALSE,AND(AN53&lt;&gt;$B53,AN53&lt;&gt;$C52,IFERROR(INDEX($E$18:$E$30,MATCH(AN53,$B$18:$B$30,0)),"No")="Yes",IF(AND(OR($B$3="Stage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Girls"))),$B$5&gt;20),MIN(3,MAX(2,Setup!$B$14)),2))*2),AN53=$E$5,IF(AND(OR($B$3="Stage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Girls"))),$B$5&gt;20),MIN(3,MAX(2,Setup!$B$14)),2))*2-1))),AN53=$E$4,TRUE)),COUNTIF($C$32:$C52,AN53)&lt;$B$6,IF($BI53,COUNTIF($C$32:$C52,AN53)&lt;IF($B$3="Stage 1",MIN($B$6,MAX(1,INT($B$5/$B$11))),IF(AND($B$3="Stage 3",$B$5=20,$B$11&gt;11),1,IF(AND($B$3="Stage 3",OR($B$15="Year 10-11-12 Girls"),$B$5&gt;20),MAX(2,Setup!$B$14),Setup!$B$14))),IF(AND($B$3&lt;&gt;"Stage 2",$B$3&lt;&gt;"Stage 3"),TRUE,IF($U53,TRUE,COUNTIF($C$32:$C52,AN53)&lt;IF(AND($B$3="Stage 2",$B$5=20,AN53=$E$5,$A53&lt;=IF($B$8="One Keeper",$B$5,$B$8)),2,IF(AND(OR($B$3="Stage 2",AND($B$3="Stage 3",OR($B$15="Year 10-11-12 Girls"))),AN53=$E$5,$A53&lt;=IF($B$8="One Keeper",$B$5,$B$8)),3,$B$9)))))))</f>
        <v>0</v>
      </c>
      <c r="BB53" s="20" t="b">
        <f>IF(AO53="",FALSE,AND(AO53&lt;&gt;$B53,AO53&lt;&gt;$C52,IFERROR(INDEX($E$18:$E$30,MATCH(AO53,$B$18:$B$30,0)),"No")="Yes",IF(AND(OR($B$3="Stage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Girls"))),$B$5&gt;20),MIN(3,MAX(2,Setup!$B$14)),2))*2),AO53=$E$5,IF(AND(OR($B$3="Stage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Girls"))),$B$5&gt;20),MIN(3,MAX(2,Setup!$B$14)),2))*2-1))),AO53=$E$4,TRUE)),COUNTIF($C$32:$C52,AO53)&lt;$B$6,IF($BI53,COUNTIF($C$32:$C52,AO53)&lt;IF($B$3="Stage 1",MIN($B$6,MAX(1,INT($B$5/$B$11))),IF(AND($B$3="Stage 3",$B$5=20,$B$11&gt;11),1,IF(AND($B$3="Stage 3",OR($B$15="Year 10-11-12 Girls"),$B$5&gt;20),MAX(2,Setup!$B$14),Setup!$B$14))),IF(AND($B$3&lt;&gt;"Stage 2",$B$3&lt;&gt;"Stage 3"),TRUE,IF($U53,TRUE,COUNTIF($C$32:$C52,AO53)&lt;IF(AND($B$3="Stage 2",$B$5=20,AO53=$E$5,$A53&lt;=IF($B$8="One Keeper",$B$5,$B$8)),2,IF(AND(OR($B$3="Stage 2",AND($B$3="Stage 3",OR($B$15="Year 10-11-12 Girls"))),AO53=$E$5,$A53&lt;=IF($B$8="One Keeper",$B$5,$B$8)),3,$B$9)))))))</f>
        <v>0</v>
      </c>
      <c r="BC53" s="20" t="b">
        <f>IF(AP53="",FALSE,AND(AP53&lt;&gt;$B53,AP53&lt;&gt;$C52,IFERROR(INDEX($E$18:$E$30,MATCH(AP53,$B$18:$B$30,0)),"No")="Yes",IF(AND(OR($B$3="Stage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Girls"))),$B$5&gt;20),MIN(3,MAX(2,Setup!$B$14)),2))*2),AP53=$E$5,IF(AND(OR($B$3="Stage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Girls"))),$B$5&gt;20),MIN(3,MAX(2,Setup!$B$14)),2))*2-1))),AP53=$E$4,TRUE)),COUNTIF($C$32:$C52,AP53)&lt;$B$6,IF($BI53,COUNTIF($C$32:$C52,AP53)&lt;IF($B$3="Stage 1",MIN($B$6,MAX(1,INT($B$5/$B$11))),IF(AND($B$3="Stage 3",$B$5=20,$B$11&gt;11),1,IF(AND($B$3="Stage 3",OR($B$15="Year 10-11-12 Girls"),$B$5&gt;20),MAX(2,Setup!$B$14),Setup!$B$14))),IF(AND($B$3&lt;&gt;"Stage 2",$B$3&lt;&gt;"Stage 3"),TRUE,IF($U53,TRUE,COUNTIF($C$32:$C52,AP53)&lt;IF(AND($B$3="Stage 2",$B$5=20,AP53=$E$5,$A53&lt;=IF($B$8="One Keeper",$B$5,$B$8)),2,IF(AND(OR($B$3="Stage 2",AND($B$3="Stage 3",OR($B$15="Year 10-11-12 Girls"))),AP53=$E$5,$A53&lt;=IF($B$8="One Keeper",$B$5,$B$8)),3,$B$9)))))))</f>
        <v>0</v>
      </c>
      <c r="BD53" s="20" t="b">
        <f>IF(AQ53="",FALSE,AND(AQ53&lt;&gt;$B53,AQ53&lt;&gt;$C52,IFERROR(INDEX($E$18:$E$30,MATCH(AQ53,$B$18:$B$30,0)),"No")="Yes",IF(AND(OR($B$3="Stage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Girls"))),$B$5&gt;20),MIN(3,MAX(2,Setup!$B$14)),2))*2),AQ53=$E$5,IF(AND(OR($B$3="Stage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Girls"))),$B$5&gt;20),MIN(3,MAX(2,Setup!$B$14)),2))*2-1))),AQ53=$E$4,TRUE)),COUNTIF($C$32:$C52,AQ53)&lt;$B$6,IF($BI53,COUNTIF($C$32:$C52,AQ53)&lt;IF($B$3="Stage 1",MIN($B$6,MAX(1,INT($B$5/$B$11))),IF(AND($B$3="Stage 3",$B$5=20,$B$11&gt;11),1,IF(AND($B$3="Stage 3",OR($B$15="Year 10-11-12 Girls"),$B$5&gt;20),MAX(2,Setup!$B$14),Setup!$B$14))),IF(AND($B$3&lt;&gt;"Stage 2",$B$3&lt;&gt;"Stage 3"),TRUE,IF($U53,TRUE,COUNTIF($C$32:$C52,AQ53)&lt;IF(AND($B$3="Stage 2",$B$5=20,AQ53=$E$5,$A53&lt;=IF($B$8="One Keeper",$B$5,$B$8)),2,IF(AND(OR($B$3="Stage 2",AND($B$3="Stage 3",OR($B$15="Year 10-11-12 Girls"))),AQ53=$E$5,$A53&lt;=IF($B$8="One Keeper",$B$5,$B$8)),3,$B$9)))))))</f>
        <v>0</v>
      </c>
      <c r="BE53" s="20" t="b">
        <f>IF(AR53="",FALSE,AND(AR53&lt;&gt;$B53,AR53&lt;&gt;$C52,IFERROR(INDEX($E$18:$E$30,MATCH(AR53,$B$18:$B$30,0)),"No")="Yes",IF(AND(OR($B$3="Stage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Girls"))),$B$5&gt;20),MIN(3,MAX(2,Setup!$B$14)),2))*2),AR53=$E$5,IF(AND(OR($B$3="Stage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Girls"))),$B$5&gt;20),MIN(3,MAX(2,Setup!$B$14)),2))*2-1))),AR53=$E$4,TRUE)),COUNTIF($C$32:$C52,AR53)&lt;$B$6,IF($BI53,COUNTIF($C$32:$C52,AR53)&lt;IF($B$3="Stage 1",MIN($B$6,MAX(1,INT($B$5/$B$11))),IF(AND($B$3="Stage 3",$B$5=20,$B$11&gt;11),1,IF(AND($B$3="Stage 3",OR($B$15="Year 10-11-12 Girls"),$B$5&gt;20),MAX(2,Setup!$B$14),Setup!$B$14))),IF(AND($B$3&lt;&gt;"Stage 2",$B$3&lt;&gt;"Stage 3"),TRUE,IF($U53,TRUE,COUNTIF($C$32:$C52,AR53)&lt;IF(AND($B$3="Stage 2",$B$5=20,AR53=$E$5,$A53&lt;=IF($B$8="One Keeper",$B$5,$B$8)),2,IF(AND(OR($B$3="Stage 2",AND($B$3="Stage 3",OR($B$15="Year 10-11-12 Girls"))),AR53=$E$5,$A53&lt;=IF($B$8="One Keeper",$B$5,$B$8)),3,$B$9)))))))</f>
        <v>0</v>
      </c>
      <c r="BF53" s="20" t="b">
        <f>IF(AS53="",FALSE,AND(AS53&lt;&gt;$B53,AS53&lt;&gt;$C52,IFERROR(INDEX($E$18:$E$30,MATCH(AS53,$B$18:$B$30,0)),"No")="Yes",IF(AND(OR($B$3="Stage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Girls"))),$B$5&gt;20),MIN(3,MAX(2,Setup!$B$14)),2))*2),AS53=$E$5,IF(AND(OR($B$3="Stage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Girls"))),$B$5&gt;20),MIN(3,MAX(2,Setup!$B$14)),2))*2-1))),AS53=$E$4,TRUE)),COUNTIF($C$32:$C52,AS53)&lt;$B$6,IF($BI53,COUNTIF($C$32:$C52,AS53)&lt;IF($B$3="Stage 1",MIN($B$6,MAX(1,INT($B$5/$B$11))),IF(AND($B$3="Stage 3",$B$5=20,$B$11&gt;11),1,IF(AND($B$3="Stage 3",OR($B$15="Year 10-11-12 Girls"),$B$5&gt;20),MAX(2,Setup!$B$14),Setup!$B$14))),IF(AND($B$3&lt;&gt;"Stage 2",$B$3&lt;&gt;"Stage 3"),TRUE,IF($U53,TRUE,COUNTIF($C$32:$C52,AS53)&lt;IF(AND($B$3="Stage 2",$B$5=20,AS53=$E$5,$A53&lt;=IF($B$8="One Keeper",$B$5,$B$8)),2,IF(AND(OR($B$3="Stage 2",AND($B$3="Stage 3",OR($B$15="Year 10-11-12 Girls"))),AS53=$E$5,$A53&lt;=IF($B$8="One Keeper",$B$5,$B$8)),3,$B$9)))))))</f>
        <v>0</v>
      </c>
      <c r="BG53" s="20" t="b">
        <f>IF(AT53="",FALSE,AND(AT53&lt;&gt;$B53,AT53&lt;&gt;$C52,IFERROR(INDEX($E$18:$E$30,MATCH(AT53,$B$18:$B$30,0)),"No")="Yes",IF(AND(OR($B$3="Stage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Girls"))),$B$5&gt;20),MIN(3,MAX(2,Setup!$B$14)),2))*2),AT53=$E$5,IF(AND(OR($B$3="Stage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Girls"))),$B$5&gt;20),MIN(3,MAX(2,Setup!$B$14)),2))*2-1))),AT53=$E$4,TRUE)),COUNTIF($C$32:$C52,AT53)&lt;$B$6,IF($BI53,COUNTIF($C$32:$C52,AT53)&lt;IF($B$3="Stage 1",MIN($B$6,MAX(1,INT($B$5/$B$11))),IF(AND($B$3="Stage 3",$B$5=20,$B$11&gt;11),1,IF(AND($B$3="Stage 3",OR($B$15="Year 10-11-12 Girls"),$B$5&gt;20),MAX(2,Setup!$B$14),Setup!$B$14))),IF(AND($B$3&lt;&gt;"Stage 2",$B$3&lt;&gt;"Stage 3"),TRUE,IF($U53,TRUE,COUNTIF($C$32:$C52,AT53)&lt;IF(AND($B$3="Stage 2",$B$5=20,AT53=$E$5,$A53&lt;=IF($B$8="One Keeper",$B$5,$B$8)),2,IF(AND(OR($B$3="Stage 2",AND($B$3="Stage 3",OR($B$15="Year 10-11-12 Girls"))),AT53=$E$5,$A53&lt;=IF($B$8="One Keeper",$B$5,$B$8)),3,$B$9)))))))</f>
        <v>0</v>
      </c>
      <c r="BH53" s="20" t="b">
        <f>IF(AU53="",FALSE,AND(AU53&lt;&gt;$B53,AU53&lt;&gt;$C52,IFERROR(INDEX($E$18:$E$30,MATCH(AU53,$B$18:$B$30,0)),"No")="Yes",IF(AND(OR($B$3="Stage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Girls"))),$B$5&gt;20),MIN(3,MAX(2,Setup!$B$14)),2))*2),AU53=$E$5,IF(AND(OR($B$3="Stage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Girls"))),$B$5&gt;20),MIN(3,MAX(2,Setup!$B$14)),2))*2-1))),AU53=$E$4,TRUE)),COUNTIF($C$32:$C52,AU53)&lt;$B$6,IF($BI53,COUNTIF($C$32:$C52,AU53)&lt;IF($B$3="Stage 1",MIN($B$6,MAX(1,INT($B$5/$B$11))),IF(AND($B$3="Stage 3",$B$5=20,$B$11&gt;11),1,IF(AND($B$3="Stage 3",OR($B$15="Year 10-11-12 Girls"),$B$5&gt;20),MAX(2,Setup!$B$14),Setup!$B$14))),IF(AND($B$3&lt;&gt;"Stage 2",$B$3&lt;&gt;"Stage 3"),TRUE,IF($U53,TRUE,COUNTIF($C$32:$C52,AU53)&lt;IF(AND($B$3="Stage 2",$B$5=20,AU53=$E$5,$A53&lt;=IF($B$8="One Keeper",$B$5,$B$8)),2,IF(AND(OR($B$3="Stage 2",AND($B$3="Stage 3",OR($B$15="Year 10-11-12 Girls"))),AU53=$E$5,$A53&lt;=IF($B$8="One Keeper",$B$5,$B$8)),3,$B$9)))))))</f>
        <v>0</v>
      </c>
      <c r="BI53"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Keeper",$E$4&lt;&gt;$E$5,$A53&lt;=IF($B$8="One Keeper",$B$5,$B$8),COUNTIF($C$32:$C52,$E$5)&lt;IF(AND($B$3="Stage 3",$B$5=20,$B$11&gt;11),1,IF(AND(OR($B$3="Stage 2",AND($B$3="Stage 3",OR($B$15="Year 10-11-12 Girls"))),$B$5&gt;20),MIN(3,MAX(2,Setup!$B$14)),2)),IFERROR(INDEX($E$18:$E$30,MATCH($E$5,$B$18:$B$30,0)),"No")="Yes",$C52&lt;&gt;$E$5,MOD($A53,2)=0,$A53&lt;=IF(AND($B$3="Stage 3",$B$5=20,$B$11&gt;11),1,IF(AND(OR($B$3="Stage 2",AND($B$3="Stage 3",OR($B$15="Year 10-11-12 Girls"))),$B$5&gt;20),MIN(3,MAX(2,Setup!$B$14)),2))*2),AND(OR($B$3="Stage 1",$B$3="Stage 2",AND($B$3="Stage 3",OR(OR($B$15="Year 10-11-12 Girls"),OR($B$15="Year 8 Boys",$B$15="Year 9 Boys",$B$15="Year 10-11 Boys")))),$B$8&lt;&gt;"One Keeper",$E$4&lt;&gt;$E$5,$A53&gt;IF($B$8="One Keeper",$B$5,$B$8),COUNTIF($C$32:$C52,$E$4)&lt;IF(AND($B$3="Stage 3",$B$5=20,$B$11&gt;11),1,IF(AND(OR($B$3="Stage 2",AND($B$3="Stage 3",OR($B$15="Year 10-11-12 Girls"))),$B$5&gt;20),MIN(3,MAX(2,Setup!$B$14)),2)),IFERROR(INDEX($E$18:$E$30,MATCH($E$4,$B$18:$B$30,0)),"No")="Yes",$C52&lt;&gt;$E$4,IF($B$7="Three-over spell",AND(MOD($A53-IF($B$8="One Keeper",$B$5,$B$8)-1,3)=0,($A53-IF($B$8="One Keeper",$B$5,$B$8))&lt;=1+(IF(AND($B$3="Stage 3",$B$5=20,$B$11&gt;11),1,IF(AND(OR($B$3="Stage 2",AND($B$3="Stage 3",OR($B$15="Year 10-11-12 Girls"))),$B$5&gt;20),MIN(3,MAX(2,Setup!$B$14)),2))-1)*3),AND(MOD($A53-IF($B$8="One Keeper",$B$5,$B$8),2)=1,($A53-IF($B$8="One Keeper",$B$5,$B$8))&lt;=IF(AND($B$3="Stage 3",$B$5=20,$B$11&gt;11),1,IF(AND(OR($B$3="Stage 2",AND($B$3="Stage 3",OR($B$15="Year 10-11-12 Girls"))),$B$5&gt;20),MIN(3,MAX(2,Setup!$B$14)),2))*2-1))))),OR($U53,AND($B$3="Stage 3",$B$5=20,$B$11&gt;11)),OR($BJ53,$BK53,$BL53,$BM53,$BN53,$BO53,$BP53,$BQ53,$BR53,$BS53,$BT53,$BU53,$BV53))</f>
        <v>0</v>
      </c>
      <c r="BJ53" s="20" t="b">
        <f>IF(AI53="",FALSE,AND(AI53&lt;&gt;IF(AND($B$3="Stage 3",OR($B$15="Year 8 Boys",$B$15="Year 9 Boys",$B$15="Year 10-11 Boys"),$B$8="One Keeper"),$E$4,""),AI53&lt;&gt;$B53,AI53&lt;&gt;$C52,IFERROR(INDEX($E$18:$E$30,MATCH(AI53,$B$18:$B$30,0)),"No")="Yes",COUNTIF($C$32:$C52,AI53)&lt;$B$6,COUNTIF($C$32:$C52,AI53)&lt;IF($B$3="Stage 1",MIN($B$6,MAX(1,INT($B$5/$B$11))),IF(AND($B$3="Stage 3",$B$5=20,$B$11&gt;11),1,IF(AND($B$3="Stage 3",OR($B$15="Year 10-11-12 Girls"),$B$5&gt;20),MAX(2,Setup!$B$14),Setup!$B$14)))))</f>
        <v>0</v>
      </c>
      <c r="BK53" s="20" t="b">
        <f>IF(AJ53="",FALSE,AND(AJ53&lt;&gt;IF(AND($B$3="Stage 3",OR($B$15="Year 8 Boys",$B$15="Year 9 Boys",$B$15="Year 10-11 Boys"),$B$8="One Keeper"),$E$4,""),AJ53&lt;&gt;$B53,AJ53&lt;&gt;$C52,IFERROR(INDEX($E$18:$E$30,MATCH(AJ53,$B$18:$B$30,0)),"No")="Yes",COUNTIF($C$32:$C52,AJ53)&lt;$B$6,COUNTIF($C$32:$C52,AJ53)&lt;IF($B$3="Stage 1",MIN($B$6,MAX(1,INT($B$5/$B$11))),IF(AND($B$3="Stage 3",$B$5=20,$B$11&gt;11),1,IF(AND($B$3="Stage 3",OR($B$15="Year 10-11-12 Girls"),$B$5&gt;20),MAX(2,Setup!$B$14),Setup!$B$14)))))</f>
        <v>0</v>
      </c>
      <c r="BL53" s="20" t="b">
        <f>IF(AK53="",FALSE,AND(AK53&lt;&gt;IF(AND($B$3="Stage 3",OR($B$15="Year 8 Boys",$B$15="Year 9 Boys",$B$15="Year 10-11 Boys"),$B$8="One Keeper"),$E$4,""),AK53&lt;&gt;$B53,AK53&lt;&gt;$C52,IFERROR(INDEX($E$18:$E$30,MATCH(AK53,$B$18:$B$30,0)),"No")="Yes",COUNTIF($C$32:$C52,AK53)&lt;$B$6,COUNTIF($C$32:$C52,AK53)&lt;IF($B$3="Stage 1",MIN($B$6,MAX(1,INT($B$5/$B$11))),IF(AND($B$3="Stage 3",$B$5=20,$B$11&gt;11),1,IF(AND($B$3="Stage 3",OR($B$15="Year 10-11-12 Girls"),$B$5&gt;20),MAX(2,Setup!$B$14),Setup!$B$14)))))</f>
        <v>0</v>
      </c>
      <c r="BM53" s="20" t="b">
        <f>IF(AL53="",FALSE,AND(AL53&lt;&gt;IF(AND($B$3="Stage 3",OR($B$15="Year 8 Boys",$B$15="Year 9 Boys",$B$15="Year 10-11 Boys"),$B$8="One Keeper"),$E$4,""),AL53&lt;&gt;$B53,AL53&lt;&gt;$C52,IFERROR(INDEX($E$18:$E$30,MATCH(AL53,$B$18:$B$30,0)),"No")="Yes",COUNTIF($C$32:$C52,AL53)&lt;$B$6,COUNTIF($C$32:$C52,AL53)&lt;IF($B$3="Stage 1",MIN($B$6,MAX(1,INT($B$5/$B$11))),IF(AND($B$3="Stage 3",$B$5=20,$B$11&gt;11),1,IF(AND($B$3="Stage 3",OR($B$15="Year 10-11-12 Girls"),$B$5&gt;20),MAX(2,Setup!$B$14),Setup!$B$14)))))</f>
        <v>0</v>
      </c>
      <c r="BN53" s="20" t="b">
        <f>IF(AM53="",FALSE,AND(AM53&lt;&gt;IF(AND($B$3="Stage 3",OR($B$15="Year 8 Boys",$B$15="Year 9 Boys",$B$15="Year 10-11 Boys"),$B$8="One Keeper"),$E$4,""),AM53&lt;&gt;$B53,AM53&lt;&gt;$C52,IFERROR(INDEX($E$18:$E$30,MATCH(AM53,$B$18:$B$30,0)),"No")="Yes",COUNTIF($C$32:$C52,AM53)&lt;$B$6,COUNTIF($C$32:$C52,AM53)&lt;IF($B$3="Stage 1",MIN($B$6,MAX(1,INT($B$5/$B$11))),IF(AND($B$3="Stage 3",$B$5=20,$B$11&gt;11),1,IF(AND($B$3="Stage 3",OR($B$15="Year 10-11-12 Girls"),$B$5&gt;20),MAX(2,Setup!$B$14),Setup!$B$14)))))</f>
        <v>0</v>
      </c>
      <c r="BO53" s="20" t="b">
        <f>IF(AN53="",FALSE,AND(AN53&lt;&gt;IF(AND($B$3="Stage 3",OR($B$15="Year 8 Boys",$B$15="Year 9 Boys",$B$15="Year 10-11 Boys"),$B$8="One Keeper"),$E$4,""),AN53&lt;&gt;$B53,AN53&lt;&gt;$C52,IFERROR(INDEX($E$18:$E$30,MATCH(AN53,$B$18:$B$30,0)),"No")="Yes",COUNTIF($C$32:$C52,AN53)&lt;$B$6,COUNTIF($C$32:$C52,AN53)&lt;IF($B$3="Stage 1",MIN($B$6,MAX(1,INT($B$5/$B$11))),IF(AND($B$3="Stage 3",$B$5=20,$B$11&gt;11),1,IF(AND($B$3="Stage 3",OR($B$15="Year 10-11-12 Girls"),$B$5&gt;20),MAX(2,Setup!$B$14),Setup!$B$14)))))</f>
        <v>0</v>
      </c>
      <c r="BP53" s="20" t="b">
        <f>IF(AO53="",FALSE,AND(AO53&lt;&gt;IF(AND($B$3="Stage 3",OR($B$15="Year 8 Boys",$B$15="Year 9 Boys",$B$15="Year 10-11 Boys"),$B$8="One Keeper"),$E$4,""),AO53&lt;&gt;$B53,AO53&lt;&gt;$C52,IFERROR(INDEX($E$18:$E$30,MATCH(AO53,$B$18:$B$30,0)),"No")="Yes",COUNTIF($C$32:$C52,AO53)&lt;$B$6,COUNTIF($C$32:$C52,AO53)&lt;IF($B$3="Stage 1",MIN($B$6,MAX(1,INT($B$5/$B$11))),IF(AND($B$3="Stage 3",$B$5=20,$B$11&gt;11),1,IF(AND($B$3="Stage 3",OR($B$15="Year 10-11-12 Girls"),$B$5&gt;20),MAX(2,Setup!$B$14),Setup!$B$14)))))</f>
        <v>0</v>
      </c>
      <c r="BQ53" s="20" t="b">
        <f>IF(AP53="",FALSE,AND(AP53&lt;&gt;IF(AND($B$3="Stage 3",OR($B$15="Year 8 Boys",$B$15="Year 9 Boys",$B$15="Year 10-11 Boys"),$B$8="One Keeper"),$E$4,""),AP53&lt;&gt;$B53,AP53&lt;&gt;$C52,IFERROR(INDEX($E$18:$E$30,MATCH(AP53,$B$18:$B$30,0)),"No")="Yes",COUNTIF($C$32:$C52,AP53)&lt;$B$6,COUNTIF($C$32:$C52,AP53)&lt;IF($B$3="Stage 1",MIN($B$6,MAX(1,INT($B$5/$B$11))),IF(AND($B$3="Stage 3",$B$5=20,$B$11&gt;11),1,IF(AND($B$3="Stage 3",OR($B$15="Year 10-11-12 Girls"),$B$5&gt;20),MAX(2,Setup!$B$14),Setup!$B$14)))))</f>
        <v>0</v>
      </c>
      <c r="BR53" s="20" t="b">
        <f>IF(AQ53="",FALSE,AND(AQ53&lt;&gt;IF(AND($B$3="Stage 3",OR($B$15="Year 8 Boys",$B$15="Year 9 Boys",$B$15="Year 10-11 Boys"),$B$8="One Keeper"),$E$4,""),AQ53&lt;&gt;$B53,AQ53&lt;&gt;$C52,IFERROR(INDEX($E$18:$E$30,MATCH(AQ53,$B$18:$B$30,0)),"No")="Yes",COUNTIF($C$32:$C52,AQ53)&lt;$B$6,COUNTIF($C$32:$C52,AQ53)&lt;IF($B$3="Stage 1",MIN($B$6,MAX(1,INT($B$5/$B$11))),IF(AND($B$3="Stage 3",$B$5=20,$B$11&gt;11),1,IF(AND($B$3="Stage 3",OR($B$15="Year 10-11-12 Girls"),$B$5&gt;20),MAX(2,Setup!$B$14),Setup!$B$14)))))</f>
        <v>0</v>
      </c>
      <c r="BS53" s="20" t="b">
        <f>IF(AR53="",FALSE,AND(AR53&lt;&gt;IF(AND($B$3="Stage 3",OR($B$15="Year 8 Boys",$B$15="Year 9 Boys",$B$15="Year 10-11 Boys"),$B$8="One Keeper"),$E$4,""),AR53&lt;&gt;$B53,AR53&lt;&gt;$C52,IFERROR(INDEX($E$18:$E$30,MATCH(AR53,$B$18:$B$30,0)),"No")="Yes",COUNTIF($C$32:$C52,AR53)&lt;$B$6,COUNTIF($C$32:$C52,AR53)&lt;IF($B$3="Stage 1",MIN($B$6,MAX(1,INT($B$5/$B$11))),IF(AND($B$3="Stage 3",$B$5=20,$B$11&gt;11),1,IF(AND($B$3="Stage 3",OR($B$15="Year 10-11-12 Girls"),$B$5&gt;20),MAX(2,Setup!$B$14),Setup!$B$14)))))</f>
        <v>0</v>
      </c>
      <c r="BT53" s="20" t="b">
        <f>IF(AS53="",FALSE,AND(AS53&lt;&gt;IF(AND($B$3="Stage 3",OR($B$15="Year 8 Boys",$B$15="Year 9 Boys",$B$15="Year 10-11 Boys"),$B$8="One Keeper"),$E$4,""),AS53&lt;&gt;$B53,AS53&lt;&gt;$C52,IFERROR(INDEX($E$18:$E$30,MATCH(AS53,$B$18:$B$30,0)),"No")="Yes",COUNTIF($C$32:$C52,AS53)&lt;$B$6,COUNTIF($C$32:$C52,AS53)&lt;IF($B$3="Stage 1",MIN($B$6,MAX(1,INT($B$5/$B$11))),IF(AND($B$3="Stage 3",$B$5=20,$B$11&gt;11),1,IF(AND($B$3="Stage 3",OR($B$15="Year 10-11-12 Girls"),$B$5&gt;20),MAX(2,Setup!$B$14),Setup!$B$14)))))</f>
        <v>0</v>
      </c>
      <c r="BU53" s="20" t="b">
        <f>IF(AT53="",FALSE,AND(AT53&lt;&gt;IF(AND($B$3="Stage 3",OR($B$15="Year 8 Boys",$B$15="Year 9 Boys",$B$15="Year 10-11 Boys"),$B$8="One Keeper"),$E$4,""),AT53&lt;&gt;$B53,AT53&lt;&gt;$C52,IFERROR(INDEX($E$18:$E$30,MATCH(AT53,$B$18:$B$30,0)),"No")="Yes",COUNTIF($C$32:$C52,AT53)&lt;$B$6,COUNTIF($C$32:$C52,AT53)&lt;IF($B$3="Stage 1",MIN($B$6,MAX(1,INT($B$5/$B$11))),IF(AND($B$3="Stage 3",$B$5=20,$B$11&gt;11),1,IF(AND($B$3="Stage 3",OR($B$15="Year 10-11-12 Girls"),$B$5&gt;20),MAX(2,Setup!$B$14),Setup!$B$14)))))</f>
        <v>0</v>
      </c>
      <c r="BV53" s="20" t="b">
        <f>IF(AU53="",FALSE,AND(AU53&lt;&gt;IF(AND($B$3="Stage 3",OR($B$15="Year 8 Boys",$B$15="Year 9 Boys",$B$15="Year 10-11 Boys"),$B$8="One Keeper"),$E$4,""),AU53&lt;&gt;$B53,AU53&lt;&gt;$C52,IFERROR(INDEX($E$18:$E$30,MATCH(AU53,$B$18:$B$30,0)),"No")="Yes",COUNTIF($C$32:$C52,AU53)&lt;$B$6,COUNTIF($C$32:$C52,AU53)&lt;IF($B$3="Stage 1",MIN($B$6,MAX(1,INT($B$5/$B$11))),IF(AND($B$3="Stage 3",$B$5=20,$B$11&gt;11),1,IF(AND($B$3="Stage 3",OR($B$15="Year 10-11-12 Girls"),$B$5&gt;20),MAX(2,Setup!$B$14),Setup!$B$14)))))</f>
        <v>0</v>
      </c>
      <c r="BW53" s="20"/>
      <c r="BX53" s="20"/>
      <c r="BY53" s="20"/>
      <c r="BZ53" s="20"/>
      <c r="CA53" s="20"/>
      <c r="CB53" s="20"/>
      <c r="CC53" s="20"/>
      <c r="CD53" s="20"/>
      <c r="CE53" s="20"/>
      <c r="CF53" s="20"/>
      <c r="CG53" s="20"/>
      <c r="CH53" s="20"/>
      <c r="CI53" s="20"/>
      <c r="CJ53" s="20"/>
      <c r="CK53" s="20"/>
    </row>
    <row r="54" spans="1:89" ht="15" customHeight="1">
      <c r="A54" s="18">
        <v>23</v>
      </c>
      <c r="B54" s="18" t="str">
        <f t="shared" si="5"/>
        <v/>
      </c>
      <c r="C54" s="18" t="str">
        <f t="shared" si="6"/>
        <v/>
      </c>
      <c r="D54" s="18">
        <f t="shared" si="7"/>
        <v>8</v>
      </c>
      <c r="E54" s="18" t="str">
        <f>IF($C54="","",COUNTIF($C$32:C54,$C54))</f>
        <v/>
      </c>
      <c r="F54" s="18" t="str">
        <f t="shared" si="8"/>
        <v/>
      </c>
      <c r="T54" s="20" t="str">
        <f t="shared" si="15"/>
        <v/>
      </c>
      <c r="U54" s="20" t="b">
        <f>IF(OR($B$3="Stage 2",AND($B$3="Stage 3",OR($B$15="Year 10-11-12 Girls"))),(IF(AND($P$18&lt;&gt;"",$P$18&lt;&gt;$E$4,COUNTIF($C$32:$C53,$P$18)&gt;=2),1,0)+IF(AND($P$19&lt;&gt;"",$P$19&lt;&gt;$E$4,COUNTIF($C$32:$C53,$P$19)&gt;=2),1,0)+IF(AND($P$20&lt;&gt;"",$P$20&lt;&gt;$E$4,COUNTIF($C$32:$C53,$P$20)&gt;=2),1,0)+IF(AND($P$21&lt;&gt;"",$P$21&lt;&gt;$E$4,COUNTIF($C$32:$C53,$P$21)&gt;=2),1,0)+IF(AND($P$22&lt;&gt;"",$P$22&lt;&gt;$E$4,COUNTIF($C$32:$C53,$P$22)&gt;=2),1,0)+IF(AND($P$23&lt;&gt;"",$P$23&lt;&gt;$E$4,COUNTIF($C$32:$C53,$P$23)&gt;=2),1,0)+IF(AND($P$24&lt;&gt;"",$P$24&lt;&gt;$E$4,COUNTIF($C$32:$C53,$P$24)&gt;=2),1,0)+IF(AND($P$25&lt;&gt;"",$P$25&lt;&gt;$E$4,COUNTIF($C$32:$C53,$P$25)&gt;=2),1,0)+IF(AND($P$26&lt;&gt;"",$P$26&lt;&gt;$E$4,COUNTIF($C$32:$C53,$P$26)&gt;=2),1,0)+IF(AND($P$27&lt;&gt;"",$P$27&lt;&gt;$E$4,COUNTIF($C$32:$C53,$P$27)&gt;=2),1,0)+IF(AND($P$28&lt;&gt;"",$P$28&lt;&gt;$E$4,COUNTIF($C$32:$C53,$P$28)&gt;=2),1,0)+IF(AND($P$29&lt;&gt;"",$P$29&lt;&gt;$E$4,COUNTIF($C$32:$C53,$P$29)&gt;=2),1,0)+IF(AND($P$30&lt;&gt;"",$P$30&lt;&gt;$E$4,COUNTIF($C$32:$C53,$P$30)&gt;=2),1,0))&gt;=MAX(0,$B$11-1),IF(AND($B$3="Stage 3",OR($B$15="Year 8 Boys",$B$15="Year 9 Boys",$B$15="Year 10-11 Boys")),(IF(AND($P$18&lt;&gt;"",COUNTIF($C$32:$C53,$P$18)&gt;=2),1,0)+IF(AND($P$19&lt;&gt;"",COUNTIF($C$32:$C53,$P$19)&gt;=2),1,0)+IF(AND($P$20&lt;&gt;"",COUNTIF($C$32:$C53,$P$20)&gt;=2),1,0)+IF(AND($P$21&lt;&gt;"",COUNTIF($C$32:$C53,$P$21)&gt;=2),1,0)+IF(AND($P$22&lt;&gt;"",COUNTIF($C$32:$C53,$P$22)&gt;=2),1,0)+IF(AND($P$23&lt;&gt;"",COUNTIF($C$32:$C53,$P$23)&gt;=2),1,0)+IF(AND($P$24&lt;&gt;"",COUNTIF($C$32:$C53,$P$24)&gt;=2),1,0)+IF(AND($P$25&lt;&gt;"",COUNTIF($C$32:$C53,$P$25)&gt;=2),1,0)+IF(AND($P$26&lt;&gt;"",COUNTIF($C$32:$C53,$P$26)&gt;=2),1,0)+IF(AND($P$27&lt;&gt;"",COUNTIF($C$32:$C53,$P$27)&gt;=2),1,0)+IF(AND($P$28&lt;&gt;"",COUNTIF($C$32:$C53,$P$28)&gt;=2),1,0)+IF(AND($P$29&lt;&gt;"",COUNTIF($C$32:$C53,$P$29)&gt;=2),1,0)+IF(AND($P$30&lt;&gt;"",COUNTIF($C$32:$C53,$P$30)&gt;=2),1,0))&gt;=7,TRUE))</f>
        <v>1</v>
      </c>
      <c r="V54" s="20" t="str">
        <f t="shared" si="31"/>
        <v/>
      </c>
      <c r="W54" s="20" t="str">
        <f t="shared" si="31"/>
        <v/>
      </c>
      <c r="X54" s="20" t="str">
        <f t="shared" si="31"/>
        <v/>
      </c>
      <c r="Y54" s="20" t="str">
        <f t="shared" si="31"/>
        <v/>
      </c>
      <c r="Z54" s="20" t="str">
        <f t="shared" si="31"/>
        <v/>
      </c>
      <c r="AA54" s="20" t="str">
        <f t="shared" si="31"/>
        <v/>
      </c>
      <c r="AB54" s="20" t="str">
        <f t="shared" si="31"/>
        <v/>
      </c>
      <c r="AC54" s="20" t="str">
        <f t="shared" si="31"/>
        <v/>
      </c>
      <c r="AD54" s="20" t="str">
        <f t="shared" si="31"/>
        <v/>
      </c>
      <c r="AE54" s="20" t="str">
        <f t="shared" si="31"/>
        <v/>
      </c>
      <c r="AF54" s="20" t="str">
        <f t="shared" si="31"/>
        <v/>
      </c>
      <c r="AG54" s="20" t="str">
        <f t="shared" si="31"/>
        <v/>
      </c>
      <c r="AH54" s="20" t="str">
        <f t="shared" si="31"/>
        <v/>
      </c>
      <c r="AI54" s="20" t="str">
        <f t="shared" si="17"/>
        <v/>
      </c>
      <c r="AJ54" s="20" t="str">
        <f t="shared" si="18"/>
        <v/>
      </c>
      <c r="AK54" s="20" t="str">
        <f t="shared" si="19"/>
        <v/>
      </c>
      <c r="AL54" s="20" t="str">
        <f t="shared" si="20"/>
        <v/>
      </c>
      <c r="AM54" s="20" t="str">
        <f t="shared" si="21"/>
        <v/>
      </c>
      <c r="AN54" s="20" t="str">
        <f t="shared" si="22"/>
        <v/>
      </c>
      <c r="AO54" s="20" t="str">
        <f t="shared" si="23"/>
        <v/>
      </c>
      <c r="AP54" s="20" t="str">
        <f t="shared" si="24"/>
        <v/>
      </c>
      <c r="AQ54" s="20" t="str">
        <f t="shared" si="25"/>
        <v/>
      </c>
      <c r="AR54" s="20" t="str">
        <f t="shared" si="26"/>
        <v/>
      </c>
      <c r="AS54" s="20" t="str">
        <f t="shared" si="27"/>
        <v/>
      </c>
      <c r="AT54" s="20" t="str">
        <f t="shared" si="28"/>
        <v/>
      </c>
      <c r="AU54" s="20" t="str">
        <f t="shared" si="29"/>
        <v/>
      </c>
      <c r="AV54" s="20" t="b">
        <f>IF(AI54="",FALSE,AND(AI54&lt;&gt;$B54,AI54&lt;&gt;$C53,IFERROR(INDEX($E$18:$E$30,MATCH(AI54,$B$18:$B$30,0)),"No")="Yes",IF(AND(OR($B$3="Stage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Girls"))),$B$5&gt;20),MIN(3,MAX(2,Setup!$B$14)),2))*2),AI54=$E$5,IF(AND(OR($B$3="Stage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Girls"))),$B$5&gt;20),MIN(3,MAX(2,Setup!$B$14)),2))*2-1))),AI54=$E$4,TRUE)),COUNTIF($C$32:$C53,AI54)&lt;$B$6,IF($BI54,COUNTIF($C$32:$C53,AI54)&lt;IF($B$3="Stage 1",MIN($B$6,MAX(1,INT($B$5/$B$11))),IF(AND($B$3="Stage 3",$B$5=20,$B$11&gt;11),1,IF(AND($B$3="Stage 3",OR($B$15="Year 10-11-12 Girls"),$B$5&gt;20),MAX(2,Setup!$B$14),Setup!$B$14))),IF(AND($B$3&lt;&gt;"Stage 2",$B$3&lt;&gt;"Stage 3"),TRUE,IF($U54,TRUE,COUNTIF($C$32:$C53,AI54)&lt;IF(AND($B$3="Stage 2",$B$5=20,AI54=$E$5,$A54&lt;=IF($B$8="One Keeper",$B$5,$B$8)),2,IF(AND(OR($B$3="Stage 2",AND($B$3="Stage 3",OR($B$15="Year 10-11-12 Girls"))),AI54=$E$5,$A54&lt;=IF($B$8="One Keeper",$B$5,$B$8)),3,$B$9)))))))</f>
        <v>0</v>
      </c>
      <c r="AW54" s="20" t="b">
        <f>IF(AJ54="",FALSE,AND(AJ54&lt;&gt;$B54,AJ54&lt;&gt;$C53,IFERROR(INDEX($E$18:$E$30,MATCH(AJ54,$B$18:$B$30,0)),"No")="Yes",IF(AND(OR($B$3="Stage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Girls"))),$B$5&gt;20),MIN(3,MAX(2,Setup!$B$14)),2))*2),AJ54=$E$5,IF(AND(OR($B$3="Stage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Girls"))),$B$5&gt;20),MIN(3,MAX(2,Setup!$B$14)),2))*2-1))),AJ54=$E$4,TRUE)),COUNTIF($C$32:$C53,AJ54)&lt;$B$6,IF($BI54,COUNTIF($C$32:$C53,AJ54)&lt;IF($B$3="Stage 1",MIN($B$6,MAX(1,INT($B$5/$B$11))),IF(AND($B$3="Stage 3",$B$5=20,$B$11&gt;11),1,IF(AND($B$3="Stage 3",OR($B$15="Year 10-11-12 Girls"),$B$5&gt;20),MAX(2,Setup!$B$14),Setup!$B$14))),IF(AND($B$3&lt;&gt;"Stage 2",$B$3&lt;&gt;"Stage 3"),TRUE,IF($U54,TRUE,COUNTIF($C$32:$C53,AJ54)&lt;IF(AND($B$3="Stage 2",$B$5=20,AJ54=$E$5,$A54&lt;=IF($B$8="One Keeper",$B$5,$B$8)),2,IF(AND(OR($B$3="Stage 2",AND($B$3="Stage 3",OR($B$15="Year 10-11-12 Girls"))),AJ54=$E$5,$A54&lt;=IF($B$8="One Keeper",$B$5,$B$8)),3,$B$9)))))))</f>
        <v>0</v>
      </c>
      <c r="AX54" s="20" t="b">
        <f>IF(AK54="",FALSE,AND(AK54&lt;&gt;$B54,AK54&lt;&gt;$C53,IFERROR(INDEX($E$18:$E$30,MATCH(AK54,$B$18:$B$30,0)),"No")="Yes",IF(AND(OR($B$3="Stage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Girls"))),$B$5&gt;20),MIN(3,MAX(2,Setup!$B$14)),2))*2),AK54=$E$5,IF(AND(OR($B$3="Stage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Girls"))),$B$5&gt;20),MIN(3,MAX(2,Setup!$B$14)),2))*2-1))),AK54=$E$4,TRUE)),COUNTIF($C$32:$C53,AK54)&lt;$B$6,IF($BI54,COUNTIF($C$32:$C53,AK54)&lt;IF($B$3="Stage 1",MIN($B$6,MAX(1,INT($B$5/$B$11))),IF(AND($B$3="Stage 3",$B$5=20,$B$11&gt;11),1,IF(AND($B$3="Stage 3",OR($B$15="Year 10-11-12 Girls"),$B$5&gt;20),MAX(2,Setup!$B$14),Setup!$B$14))),IF(AND($B$3&lt;&gt;"Stage 2",$B$3&lt;&gt;"Stage 3"),TRUE,IF($U54,TRUE,COUNTIF($C$32:$C53,AK54)&lt;IF(AND($B$3="Stage 2",$B$5=20,AK54=$E$5,$A54&lt;=IF($B$8="One Keeper",$B$5,$B$8)),2,IF(AND(OR($B$3="Stage 2",AND($B$3="Stage 3",OR($B$15="Year 10-11-12 Girls"))),AK54=$E$5,$A54&lt;=IF($B$8="One Keeper",$B$5,$B$8)),3,$B$9)))))))</f>
        <v>0</v>
      </c>
      <c r="AY54" s="20" t="b">
        <f>IF(AL54="",FALSE,AND(AL54&lt;&gt;$B54,AL54&lt;&gt;$C53,IFERROR(INDEX($E$18:$E$30,MATCH(AL54,$B$18:$B$30,0)),"No")="Yes",IF(AND(OR($B$3="Stage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Girls"))),$B$5&gt;20),MIN(3,MAX(2,Setup!$B$14)),2))*2),AL54=$E$5,IF(AND(OR($B$3="Stage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Girls"))),$B$5&gt;20),MIN(3,MAX(2,Setup!$B$14)),2))*2-1))),AL54=$E$4,TRUE)),COUNTIF($C$32:$C53,AL54)&lt;$B$6,IF($BI54,COUNTIF($C$32:$C53,AL54)&lt;IF($B$3="Stage 1",MIN($B$6,MAX(1,INT($B$5/$B$11))),IF(AND($B$3="Stage 3",$B$5=20,$B$11&gt;11),1,IF(AND($B$3="Stage 3",OR($B$15="Year 10-11-12 Girls"),$B$5&gt;20),MAX(2,Setup!$B$14),Setup!$B$14))),IF(AND($B$3&lt;&gt;"Stage 2",$B$3&lt;&gt;"Stage 3"),TRUE,IF($U54,TRUE,COUNTIF($C$32:$C53,AL54)&lt;IF(AND($B$3="Stage 2",$B$5=20,AL54=$E$5,$A54&lt;=IF($B$8="One Keeper",$B$5,$B$8)),2,IF(AND(OR($B$3="Stage 2",AND($B$3="Stage 3",OR($B$15="Year 10-11-12 Girls"))),AL54=$E$5,$A54&lt;=IF($B$8="One Keeper",$B$5,$B$8)),3,$B$9)))))))</f>
        <v>0</v>
      </c>
      <c r="AZ54" s="20" t="b">
        <f>IF(AM54="",FALSE,AND(AM54&lt;&gt;$B54,AM54&lt;&gt;$C53,IFERROR(INDEX($E$18:$E$30,MATCH(AM54,$B$18:$B$30,0)),"No")="Yes",IF(AND(OR($B$3="Stage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Girls"))),$B$5&gt;20),MIN(3,MAX(2,Setup!$B$14)),2))*2),AM54=$E$5,IF(AND(OR($B$3="Stage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Girls"))),$B$5&gt;20),MIN(3,MAX(2,Setup!$B$14)),2))*2-1))),AM54=$E$4,TRUE)),COUNTIF($C$32:$C53,AM54)&lt;$B$6,IF($BI54,COUNTIF($C$32:$C53,AM54)&lt;IF($B$3="Stage 1",MIN($B$6,MAX(1,INT($B$5/$B$11))),IF(AND($B$3="Stage 3",$B$5=20,$B$11&gt;11),1,IF(AND($B$3="Stage 3",OR($B$15="Year 10-11-12 Girls"),$B$5&gt;20),MAX(2,Setup!$B$14),Setup!$B$14))),IF(AND($B$3&lt;&gt;"Stage 2",$B$3&lt;&gt;"Stage 3"),TRUE,IF($U54,TRUE,COUNTIF($C$32:$C53,AM54)&lt;IF(AND($B$3="Stage 2",$B$5=20,AM54=$E$5,$A54&lt;=IF($B$8="One Keeper",$B$5,$B$8)),2,IF(AND(OR($B$3="Stage 2",AND($B$3="Stage 3",OR($B$15="Year 10-11-12 Girls"))),AM54=$E$5,$A54&lt;=IF($B$8="One Keeper",$B$5,$B$8)),3,$B$9)))))))</f>
        <v>0</v>
      </c>
      <c r="BA54" s="20" t="b">
        <f>IF(AN54="",FALSE,AND(AN54&lt;&gt;$B54,AN54&lt;&gt;$C53,IFERROR(INDEX($E$18:$E$30,MATCH(AN54,$B$18:$B$30,0)),"No")="Yes",IF(AND(OR($B$3="Stage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Girls"))),$B$5&gt;20),MIN(3,MAX(2,Setup!$B$14)),2))*2),AN54=$E$5,IF(AND(OR($B$3="Stage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Girls"))),$B$5&gt;20),MIN(3,MAX(2,Setup!$B$14)),2))*2-1))),AN54=$E$4,TRUE)),COUNTIF($C$32:$C53,AN54)&lt;$B$6,IF($BI54,COUNTIF($C$32:$C53,AN54)&lt;IF($B$3="Stage 1",MIN($B$6,MAX(1,INT($B$5/$B$11))),IF(AND($B$3="Stage 3",$B$5=20,$B$11&gt;11),1,IF(AND($B$3="Stage 3",OR($B$15="Year 10-11-12 Girls"),$B$5&gt;20),MAX(2,Setup!$B$14),Setup!$B$14))),IF(AND($B$3&lt;&gt;"Stage 2",$B$3&lt;&gt;"Stage 3"),TRUE,IF($U54,TRUE,COUNTIF($C$32:$C53,AN54)&lt;IF(AND($B$3="Stage 2",$B$5=20,AN54=$E$5,$A54&lt;=IF($B$8="One Keeper",$B$5,$B$8)),2,IF(AND(OR($B$3="Stage 2",AND($B$3="Stage 3",OR($B$15="Year 10-11-12 Girls"))),AN54=$E$5,$A54&lt;=IF($B$8="One Keeper",$B$5,$B$8)),3,$B$9)))))))</f>
        <v>0</v>
      </c>
      <c r="BB54" s="20" t="b">
        <f>IF(AO54="",FALSE,AND(AO54&lt;&gt;$B54,AO54&lt;&gt;$C53,IFERROR(INDEX($E$18:$E$30,MATCH(AO54,$B$18:$B$30,0)),"No")="Yes",IF(AND(OR($B$3="Stage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Girls"))),$B$5&gt;20),MIN(3,MAX(2,Setup!$B$14)),2))*2),AO54=$E$5,IF(AND(OR($B$3="Stage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Girls"))),$B$5&gt;20),MIN(3,MAX(2,Setup!$B$14)),2))*2-1))),AO54=$E$4,TRUE)),COUNTIF($C$32:$C53,AO54)&lt;$B$6,IF($BI54,COUNTIF($C$32:$C53,AO54)&lt;IF($B$3="Stage 1",MIN($B$6,MAX(1,INT($B$5/$B$11))),IF(AND($B$3="Stage 3",$B$5=20,$B$11&gt;11),1,IF(AND($B$3="Stage 3",OR($B$15="Year 10-11-12 Girls"),$B$5&gt;20),MAX(2,Setup!$B$14),Setup!$B$14))),IF(AND($B$3&lt;&gt;"Stage 2",$B$3&lt;&gt;"Stage 3"),TRUE,IF($U54,TRUE,COUNTIF($C$32:$C53,AO54)&lt;IF(AND($B$3="Stage 2",$B$5=20,AO54=$E$5,$A54&lt;=IF($B$8="One Keeper",$B$5,$B$8)),2,IF(AND(OR($B$3="Stage 2",AND($B$3="Stage 3",OR($B$15="Year 10-11-12 Girls"))),AO54=$E$5,$A54&lt;=IF($B$8="One Keeper",$B$5,$B$8)),3,$B$9)))))))</f>
        <v>0</v>
      </c>
      <c r="BC54" s="20" t="b">
        <f>IF(AP54="",FALSE,AND(AP54&lt;&gt;$B54,AP54&lt;&gt;$C53,IFERROR(INDEX($E$18:$E$30,MATCH(AP54,$B$18:$B$30,0)),"No")="Yes",IF(AND(OR($B$3="Stage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Girls"))),$B$5&gt;20),MIN(3,MAX(2,Setup!$B$14)),2))*2),AP54=$E$5,IF(AND(OR($B$3="Stage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Girls"))),$B$5&gt;20),MIN(3,MAX(2,Setup!$B$14)),2))*2-1))),AP54=$E$4,TRUE)),COUNTIF($C$32:$C53,AP54)&lt;$B$6,IF($BI54,COUNTIF($C$32:$C53,AP54)&lt;IF($B$3="Stage 1",MIN($B$6,MAX(1,INT($B$5/$B$11))),IF(AND($B$3="Stage 3",$B$5=20,$B$11&gt;11),1,IF(AND($B$3="Stage 3",OR($B$15="Year 10-11-12 Girls"),$B$5&gt;20),MAX(2,Setup!$B$14),Setup!$B$14))),IF(AND($B$3&lt;&gt;"Stage 2",$B$3&lt;&gt;"Stage 3"),TRUE,IF($U54,TRUE,COUNTIF($C$32:$C53,AP54)&lt;IF(AND($B$3="Stage 2",$B$5=20,AP54=$E$5,$A54&lt;=IF($B$8="One Keeper",$B$5,$B$8)),2,IF(AND(OR($B$3="Stage 2",AND($B$3="Stage 3",OR($B$15="Year 10-11-12 Girls"))),AP54=$E$5,$A54&lt;=IF($B$8="One Keeper",$B$5,$B$8)),3,$B$9)))))))</f>
        <v>0</v>
      </c>
      <c r="BD54" s="20" t="b">
        <f>IF(AQ54="",FALSE,AND(AQ54&lt;&gt;$B54,AQ54&lt;&gt;$C53,IFERROR(INDEX($E$18:$E$30,MATCH(AQ54,$B$18:$B$30,0)),"No")="Yes",IF(AND(OR($B$3="Stage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Girls"))),$B$5&gt;20),MIN(3,MAX(2,Setup!$B$14)),2))*2),AQ54=$E$5,IF(AND(OR($B$3="Stage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Girls"))),$B$5&gt;20),MIN(3,MAX(2,Setup!$B$14)),2))*2-1))),AQ54=$E$4,TRUE)),COUNTIF($C$32:$C53,AQ54)&lt;$B$6,IF($BI54,COUNTIF($C$32:$C53,AQ54)&lt;IF($B$3="Stage 1",MIN($B$6,MAX(1,INT($B$5/$B$11))),IF(AND($B$3="Stage 3",$B$5=20,$B$11&gt;11),1,IF(AND($B$3="Stage 3",OR($B$15="Year 10-11-12 Girls"),$B$5&gt;20),MAX(2,Setup!$B$14),Setup!$B$14))),IF(AND($B$3&lt;&gt;"Stage 2",$B$3&lt;&gt;"Stage 3"),TRUE,IF($U54,TRUE,COUNTIF($C$32:$C53,AQ54)&lt;IF(AND($B$3="Stage 2",$B$5=20,AQ54=$E$5,$A54&lt;=IF($B$8="One Keeper",$B$5,$B$8)),2,IF(AND(OR($B$3="Stage 2",AND($B$3="Stage 3",OR($B$15="Year 10-11-12 Girls"))),AQ54=$E$5,$A54&lt;=IF($B$8="One Keeper",$B$5,$B$8)),3,$B$9)))))))</f>
        <v>0</v>
      </c>
      <c r="BE54" s="20" t="b">
        <f>IF(AR54="",FALSE,AND(AR54&lt;&gt;$B54,AR54&lt;&gt;$C53,IFERROR(INDEX($E$18:$E$30,MATCH(AR54,$B$18:$B$30,0)),"No")="Yes",IF(AND(OR($B$3="Stage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Girls"))),$B$5&gt;20),MIN(3,MAX(2,Setup!$B$14)),2))*2),AR54=$E$5,IF(AND(OR($B$3="Stage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Girls"))),$B$5&gt;20),MIN(3,MAX(2,Setup!$B$14)),2))*2-1))),AR54=$E$4,TRUE)),COUNTIF($C$32:$C53,AR54)&lt;$B$6,IF($BI54,COUNTIF($C$32:$C53,AR54)&lt;IF($B$3="Stage 1",MIN($B$6,MAX(1,INT($B$5/$B$11))),IF(AND($B$3="Stage 3",$B$5=20,$B$11&gt;11),1,IF(AND($B$3="Stage 3",OR($B$15="Year 10-11-12 Girls"),$B$5&gt;20),MAX(2,Setup!$B$14),Setup!$B$14))),IF(AND($B$3&lt;&gt;"Stage 2",$B$3&lt;&gt;"Stage 3"),TRUE,IF($U54,TRUE,COUNTIF($C$32:$C53,AR54)&lt;IF(AND($B$3="Stage 2",$B$5=20,AR54=$E$5,$A54&lt;=IF($B$8="One Keeper",$B$5,$B$8)),2,IF(AND(OR($B$3="Stage 2",AND($B$3="Stage 3",OR($B$15="Year 10-11-12 Girls"))),AR54=$E$5,$A54&lt;=IF($B$8="One Keeper",$B$5,$B$8)),3,$B$9)))))))</f>
        <v>0</v>
      </c>
      <c r="BF54" s="20" t="b">
        <f>IF(AS54="",FALSE,AND(AS54&lt;&gt;$B54,AS54&lt;&gt;$C53,IFERROR(INDEX($E$18:$E$30,MATCH(AS54,$B$18:$B$30,0)),"No")="Yes",IF(AND(OR($B$3="Stage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Girls"))),$B$5&gt;20),MIN(3,MAX(2,Setup!$B$14)),2))*2),AS54=$E$5,IF(AND(OR($B$3="Stage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Girls"))),$B$5&gt;20),MIN(3,MAX(2,Setup!$B$14)),2))*2-1))),AS54=$E$4,TRUE)),COUNTIF($C$32:$C53,AS54)&lt;$B$6,IF($BI54,COUNTIF($C$32:$C53,AS54)&lt;IF($B$3="Stage 1",MIN($B$6,MAX(1,INT($B$5/$B$11))),IF(AND($B$3="Stage 3",$B$5=20,$B$11&gt;11),1,IF(AND($B$3="Stage 3",OR($B$15="Year 10-11-12 Girls"),$B$5&gt;20),MAX(2,Setup!$B$14),Setup!$B$14))),IF(AND($B$3&lt;&gt;"Stage 2",$B$3&lt;&gt;"Stage 3"),TRUE,IF($U54,TRUE,COUNTIF($C$32:$C53,AS54)&lt;IF(AND($B$3="Stage 2",$B$5=20,AS54=$E$5,$A54&lt;=IF($B$8="One Keeper",$B$5,$B$8)),2,IF(AND(OR($B$3="Stage 2",AND($B$3="Stage 3",OR($B$15="Year 10-11-12 Girls"))),AS54=$E$5,$A54&lt;=IF($B$8="One Keeper",$B$5,$B$8)),3,$B$9)))))))</f>
        <v>0</v>
      </c>
      <c r="BG54" s="20" t="b">
        <f>IF(AT54="",FALSE,AND(AT54&lt;&gt;$B54,AT54&lt;&gt;$C53,IFERROR(INDEX($E$18:$E$30,MATCH(AT54,$B$18:$B$30,0)),"No")="Yes",IF(AND(OR($B$3="Stage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Girls"))),$B$5&gt;20),MIN(3,MAX(2,Setup!$B$14)),2))*2),AT54=$E$5,IF(AND(OR($B$3="Stage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Girls"))),$B$5&gt;20),MIN(3,MAX(2,Setup!$B$14)),2))*2-1))),AT54=$E$4,TRUE)),COUNTIF($C$32:$C53,AT54)&lt;$B$6,IF($BI54,COUNTIF($C$32:$C53,AT54)&lt;IF($B$3="Stage 1",MIN($B$6,MAX(1,INT($B$5/$B$11))),IF(AND($B$3="Stage 3",$B$5=20,$B$11&gt;11),1,IF(AND($B$3="Stage 3",OR($B$15="Year 10-11-12 Girls"),$B$5&gt;20),MAX(2,Setup!$B$14),Setup!$B$14))),IF(AND($B$3&lt;&gt;"Stage 2",$B$3&lt;&gt;"Stage 3"),TRUE,IF($U54,TRUE,COUNTIF($C$32:$C53,AT54)&lt;IF(AND($B$3="Stage 2",$B$5=20,AT54=$E$5,$A54&lt;=IF($B$8="One Keeper",$B$5,$B$8)),2,IF(AND(OR($B$3="Stage 2",AND($B$3="Stage 3",OR($B$15="Year 10-11-12 Girls"))),AT54=$E$5,$A54&lt;=IF($B$8="One Keeper",$B$5,$B$8)),3,$B$9)))))))</f>
        <v>0</v>
      </c>
      <c r="BH54" s="20" t="b">
        <f>IF(AU54="",FALSE,AND(AU54&lt;&gt;$B54,AU54&lt;&gt;$C53,IFERROR(INDEX($E$18:$E$30,MATCH(AU54,$B$18:$B$30,0)),"No")="Yes",IF(AND(OR($B$3="Stage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Girls"))),$B$5&gt;20),MIN(3,MAX(2,Setup!$B$14)),2))*2),AU54=$E$5,IF(AND(OR($B$3="Stage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Girls"))),$B$5&gt;20),MIN(3,MAX(2,Setup!$B$14)),2))*2-1))),AU54=$E$4,TRUE)),COUNTIF($C$32:$C53,AU54)&lt;$B$6,IF($BI54,COUNTIF($C$32:$C53,AU54)&lt;IF($B$3="Stage 1",MIN($B$6,MAX(1,INT($B$5/$B$11))),IF(AND($B$3="Stage 3",$B$5=20,$B$11&gt;11),1,IF(AND($B$3="Stage 3",OR($B$15="Year 10-11-12 Girls"),$B$5&gt;20),MAX(2,Setup!$B$14),Setup!$B$14))),IF(AND($B$3&lt;&gt;"Stage 2",$B$3&lt;&gt;"Stage 3"),TRUE,IF($U54,TRUE,COUNTIF($C$32:$C53,AU54)&lt;IF(AND($B$3="Stage 2",$B$5=20,AU54=$E$5,$A54&lt;=IF($B$8="One Keeper",$B$5,$B$8)),2,IF(AND(OR($B$3="Stage 2",AND($B$3="Stage 3",OR($B$15="Year 10-11-12 Girls"))),AU54=$E$5,$A54&lt;=IF($B$8="One Keeper",$B$5,$B$8)),3,$B$9)))))))</f>
        <v>0</v>
      </c>
      <c r="BI54"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Keeper",$E$4&lt;&gt;$E$5,$A54&lt;=IF($B$8="One Keeper",$B$5,$B$8),COUNTIF($C$32:$C53,$E$5)&lt;IF(AND($B$3="Stage 3",$B$5=20,$B$11&gt;11),1,IF(AND(OR($B$3="Stage 2",AND($B$3="Stage 3",OR($B$15="Year 10-11-12 Girls"))),$B$5&gt;20),MIN(3,MAX(2,Setup!$B$14)),2)),IFERROR(INDEX($E$18:$E$30,MATCH($E$5,$B$18:$B$30,0)),"No")="Yes",$C53&lt;&gt;$E$5,MOD($A54,2)=0,$A54&lt;=IF(AND($B$3="Stage 3",$B$5=20,$B$11&gt;11),1,IF(AND(OR($B$3="Stage 2",AND($B$3="Stage 3",OR($B$15="Year 10-11-12 Girls"))),$B$5&gt;20),MIN(3,MAX(2,Setup!$B$14)),2))*2),AND(OR($B$3="Stage 1",$B$3="Stage 2",AND($B$3="Stage 3",OR(OR($B$15="Year 10-11-12 Girls"),OR($B$15="Year 8 Boys",$B$15="Year 9 Boys",$B$15="Year 10-11 Boys")))),$B$8&lt;&gt;"One Keeper",$E$4&lt;&gt;$E$5,$A54&gt;IF($B$8="One Keeper",$B$5,$B$8),COUNTIF($C$32:$C53,$E$4)&lt;IF(AND($B$3="Stage 3",$B$5=20,$B$11&gt;11),1,IF(AND(OR($B$3="Stage 2",AND($B$3="Stage 3",OR($B$15="Year 10-11-12 Girls"))),$B$5&gt;20),MIN(3,MAX(2,Setup!$B$14)),2)),IFERROR(INDEX($E$18:$E$30,MATCH($E$4,$B$18:$B$30,0)),"No")="Yes",$C53&lt;&gt;$E$4,IF($B$7="Three-over spell",AND(MOD($A54-IF($B$8="One Keeper",$B$5,$B$8)-1,3)=0,($A54-IF($B$8="One Keeper",$B$5,$B$8))&lt;=1+(IF(AND($B$3="Stage 3",$B$5=20,$B$11&gt;11),1,IF(AND(OR($B$3="Stage 2",AND($B$3="Stage 3",OR($B$15="Year 10-11-12 Girls"))),$B$5&gt;20),MIN(3,MAX(2,Setup!$B$14)),2))-1)*3),AND(MOD($A54-IF($B$8="One Keeper",$B$5,$B$8),2)=1,($A54-IF($B$8="One Keeper",$B$5,$B$8))&lt;=IF(AND($B$3="Stage 3",$B$5=20,$B$11&gt;11),1,IF(AND(OR($B$3="Stage 2",AND($B$3="Stage 3",OR($B$15="Year 10-11-12 Girls"))),$B$5&gt;20),MIN(3,MAX(2,Setup!$B$14)),2))*2-1))))),OR($U54,AND($B$3="Stage 3",$B$5=20,$B$11&gt;11)),OR($BJ54,$BK54,$BL54,$BM54,$BN54,$BO54,$BP54,$BQ54,$BR54,$BS54,$BT54,$BU54,$BV54))</f>
        <v>0</v>
      </c>
      <c r="BJ54" s="20" t="b">
        <f>IF(AI54="",FALSE,AND(AI54&lt;&gt;IF(AND($B$3="Stage 3",OR($B$15="Year 8 Boys",$B$15="Year 9 Boys",$B$15="Year 10-11 Boys"),$B$8="One Keeper"),$E$4,""),AI54&lt;&gt;$B54,AI54&lt;&gt;$C53,IFERROR(INDEX($E$18:$E$30,MATCH(AI54,$B$18:$B$30,0)),"No")="Yes",COUNTIF($C$32:$C53,AI54)&lt;$B$6,COUNTIF($C$32:$C53,AI54)&lt;IF($B$3="Stage 1",MIN($B$6,MAX(1,INT($B$5/$B$11))),IF(AND($B$3="Stage 3",$B$5=20,$B$11&gt;11),1,IF(AND($B$3="Stage 3",OR($B$15="Year 10-11-12 Girls"),$B$5&gt;20),MAX(2,Setup!$B$14),Setup!$B$14)))))</f>
        <v>0</v>
      </c>
      <c r="BK54" s="20" t="b">
        <f>IF(AJ54="",FALSE,AND(AJ54&lt;&gt;IF(AND($B$3="Stage 3",OR($B$15="Year 8 Boys",$B$15="Year 9 Boys",$B$15="Year 10-11 Boys"),$B$8="One Keeper"),$E$4,""),AJ54&lt;&gt;$B54,AJ54&lt;&gt;$C53,IFERROR(INDEX($E$18:$E$30,MATCH(AJ54,$B$18:$B$30,0)),"No")="Yes",COUNTIF($C$32:$C53,AJ54)&lt;$B$6,COUNTIF($C$32:$C53,AJ54)&lt;IF($B$3="Stage 1",MIN($B$6,MAX(1,INT($B$5/$B$11))),IF(AND($B$3="Stage 3",$B$5=20,$B$11&gt;11),1,IF(AND($B$3="Stage 3",OR($B$15="Year 10-11-12 Girls"),$B$5&gt;20),MAX(2,Setup!$B$14),Setup!$B$14)))))</f>
        <v>0</v>
      </c>
      <c r="BL54" s="20" t="b">
        <f>IF(AK54="",FALSE,AND(AK54&lt;&gt;IF(AND($B$3="Stage 3",OR($B$15="Year 8 Boys",$B$15="Year 9 Boys",$B$15="Year 10-11 Boys"),$B$8="One Keeper"),$E$4,""),AK54&lt;&gt;$B54,AK54&lt;&gt;$C53,IFERROR(INDEX($E$18:$E$30,MATCH(AK54,$B$18:$B$30,0)),"No")="Yes",COUNTIF($C$32:$C53,AK54)&lt;$B$6,COUNTIF($C$32:$C53,AK54)&lt;IF($B$3="Stage 1",MIN($B$6,MAX(1,INT($B$5/$B$11))),IF(AND($B$3="Stage 3",$B$5=20,$B$11&gt;11),1,IF(AND($B$3="Stage 3",OR($B$15="Year 10-11-12 Girls"),$B$5&gt;20),MAX(2,Setup!$B$14),Setup!$B$14)))))</f>
        <v>0</v>
      </c>
      <c r="BM54" s="20" t="b">
        <f>IF(AL54="",FALSE,AND(AL54&lt;&gt;IF(AND($B$3="Stage 3",OR($B$15="Year 8 Boys",$B$15="Year 9 Boys",$B$15="Year 10-11 Boys"),$B$8="One Keeper"),$E$4,""),AL54&lt;&gt;$B54,AL54&lt;&gt;$C53,IFERROR(INDEX($E$18:$E$30,MATCH(AL54,$B$18:$B$30,0)),"No")="Yes",COUNTIF($C$32:$C53,AL54)&lt;$B$6,COUNTIF($C$32:$C53,AL54)&lt;IF($B$3="Stage 1",MIN($B$6,MAX(1,INT($B$5/$B$11))),IF(AND($B$3="Stage 3",$B$5=20,$B$11&gt;11),1,IF(AND($B$3="Stage 3",OR($B$15="Year 10-11-12 Girls"),$B$5&gt;20),MAX(2,Setup!$B$14),Setup!$B$14)))))</f>
        <v>0</v>
      </c>
      <c r="BN54" s="20" t="b">
        <f>IF(AM54="",FALSE,AND(AM54&lt;&gt;IF(AND($B$3="Stage 3",OR($B$15="Year 8 Boys",$B$15="Year 9 Boys",$B$15="Year 10-11 Boys"),$B$8="One Keeper"),$E$4,""),AM54&lt;&gt;$B54,AM54&lt;&gt;$C53,IFERROR(INDEX($E$18:$E$30,MATCH(AM54,$B$18:$B$30,0)),"No")="Yes",COUNTIF($C$32:$C53,AM54)&lt;$B$6,COUNTIF($C$32:$C53,AM54)&lt;IF($B$3="Stage 1",MIN($B$6,MAX(1,INT($B$5/$B$11))),IF(AND($B$3="Stage 3",$B$5=20,$B$11&gt;11),1,IF(AND($B$3="Stage 3",OR($B$15="Year 10-11-12 Girls"),$B$5&gt;20),MAX(2,Setup!$B$14),Setup!$B$14)))))</f>
        <v>0</v>
      </c>
      <c r="BO54" s="20" t="b">
        <f>IF(AN54="",FALSE,AND(AN54&lt;&gt;IF(AND($B$3="Stage 3",OR($B$15="Year 8 Boys",$B$15="Year 9 Boys",$B$15="Year 10-11 Boys"),$B$8="One Keeper"),$E$4,""),AN54&lt;&gt;$B54,AN54&lt;&gt;$C53,IFERROR(INDEX($E$18:$E$30,MATCH(AN54,$B$18:$B$30,0)),"No")="Yes",COUNTIF($C$32:$C53,AN54)&lt;$B$6,COUNTIF($C$32:$C53,AN54)&lt;IF($B$3="Stage 1",MIN($B$6,MAX(1,INT($B$5/$B$11))),IF(AND($B$3="Stage 3",$B$5=20,$B$11&gt;11),1,IF(AND($B$3="Stage 3",OR($B$15="Year 10-11-12 Girls"),$B$5&gt;20),MAX(2,Setup!$B$14),Setup!$B$14)))))</f>
        <v>0</v>
      </c>
      <c r="BP54" s="20" t="b">
        <f>IF(AO54="",FALSE,AND(AO54&lt;&gt;IF(AND($B$3="Stage 3",OR($B$15="Year 8 Boys",$B$15="Year 9 Boys",$B$15="Year 10-11 Boys"),$B$8="One Keeper"),$E$4,""),AO54&lt;&gt;$B54,AO54&lt;&gt;$C53,IFERROR(INDEX($E$18:$E$30,MATCH(AO54,$B$18:$B$30,0)),"No")="Yes",COUNTIF($C$32:$C53,AO54)&lt;$B$6,COUNTIF($C$32:$C53,AO54)&lt;IF($B$3="Stage 1",MIN($B$6,MAX(1,INT($B$5/$B$11))),IF(AND($B$3="Stage 3",$B$5=20,$B$11&gt;11),1,IF(AND($B$3="Stage 3",OR($B$15="Year 10-11-12 Girls"),$B$5&gt;20),MAX(2,Setup!$B$14),Setup!$B$14)))))</f>
        <v>0</v>
      </c>
      <c r="BQ54" s="20" t="b">
        <f>IF(AP54="",FALSE,AND(AP54&lt;&gt;IF(AND($B$3="Stage 3",OR($B$15="Year 8 Boys",$B$15="Year 9 Boys",$B$15="Year 10-11 Boys"),$B$8="One Keeper"),$E$4,""),AP54&lt;&gt;$B54,AP54&lt;&gt;$C53,IFERROR(INDEX($E$18:$E$30,MATCH(AP54,$B$18:$B$30,0)),"No")="Yes",COUNTIF($C$32:$C53,AP54)&lt;$B$6,COUNTIF($C$32:$C53,AP54)&lt;IF($B$3="Stage 1",MIN($B$6,MAX(1,INT($B$5/$B$11))),IF(AND($B$3="Stage 3",$B$5=20,$B$11&gt;11),1,IF(AND($B$3="Stage 3",OR($B$15="Year 10-11-12 Girls"),$B$5&gt;20),MAX(2,Setup!$B$14),Setup!$B$14)))))</f>
        <v>0</v>
      </c>
      <c r="BR54" s="20" t="b">
        <f>IF(AQ54="",FALSE,AND(AQ54&lt;&gt;IF(AND($B$3="Stage 3",OR($B$15="Year 8 Boys",$B$15="Year 9 Boys",$B$15="Year 10-11 Boys"),$B$8="One Keeper"),$E$4,""),AQ54&lt;&gt;$B54,AQ54&lt;&gt;$C53,IFERROR(INDEX($E$18:$E$30,MATCH(AQ54,$B$18:$B$30,0)),"No")="Yes",COUNTIF($C$32:$C53,AQ54)&lt;$B$6,COUNTIF($C$32:$C53,AQ54)&lt;IF($B$3="Stage 1",MIN($B$6,MAX(1,INT($B$5/$B$11))),IF(AND($B$3="Stage 3",$B$5=20,$B$11&gt;11),1,IF(AND($B$3="Stage 3",OR($B$15="Year 10-11-12 Girls"),$B$5&gt;20),MAX(2,Setup!$B$14),Setup!$B$14)))))</f>
        <v>0</v>
      </c>
      <c r="BS54" s="20" t="b">
        <f>IF(AR54="",FALSE,AND(AR54&lt;&gt;IF(AND($B$3="Stage 3",OR($B$15="Year 8 Boys",$B$15="Year 9 Boys",$B$15="Year 10-11 Boys"),$B$8="One Keeper"),$E$4,""),AR54&lt;&gt;$B54,AR54&lt;&gt;$C53,IFERROR(INDEX($E$18:$E$30,MATCH(AR54,$B$18:$B$30,0)),"No")="Yes",COUNTIF($C$32:$C53,AR54)&lt;$B$6,COUNTIF($C$32:$C53,AR54)&lt;IF($B$3="Stage 1",MIN($B$6,MAX(1,INT($B$5/$B$11))),IF(AND($B$3="Stage 3",$B$5=20,$B$11&gt;11),1,IF(AND($B$3="Stage 3",OR($B$15="Year 10-11-12 Girls"),$B$5&gt;20),MAX(2,Setup!$B$14),Setup!$B$14)))))</f>
        <v>0</v>
      </c>
      <c r="BT54" s="20" t="b">
        <f>IF(AS54="",FALSE,AND(AS54&lt;&gt;IF(AND($B$3="Stage 3",OR($B$15="Year 8 Boys",$B$15="Year 9 Boys",$B$15="Year 10-11 Boys"),$B$8="One Keeper"),$E$4,""),AS54&lt;&gt;$B54,AS54&lt;&gt;$C53,IFERROR(INDEX($E$18:$E$30,MATCH(AS54,$B$18:$B$30,0)),"No")="Yes",COUNTIF($C$32:$C53,AS54)&lt;$B$6,COUNTIF($C$32:$C53,AS54)&lt;IF($B$3="Stage 1",MIN($B$6,MAX(1,INT($B$5/$B$11))),IF(AND($B$3="Stage 3",$B$5=20,$B$11&gt;11),1,IF(AND($B$3="Stage 3",OR($B$15="Year 10-11-12 Girls"),$B$5&gt;20),MAX(2,Setup!$B$14),Setup!$B$14)))))</f>
        <v>0</v>
      </c>
      <c r="BU54" s="20" t="b">
        <f>IF(AT54="",FALSE,AND(AT54&lt;&gt;IF(AND($B$3="Stage 3",OR($B$15="Year 8 Boys",$B$15="Year 9 Boys",$B$15="Year 10-11 Boys"),$B$8="One Keeper"),$E$4,""),AT54&lt;&gt;$B54,AT54&lt;&gt;$C53,IFERROR(INDEX($E$18:$E$30,MATCH(AT54,$B$18:$B$30,0)),"No")="Yes",COUNTIF($C$32:$C53,AT54)&lt;$B$6,COUNTIF($C$32:$C53,AT54)&lt;IF($B$3="Stage 1",MIN($B$6,MAX(1,INT($B$5/$B$11))),IF(AND($B$3="Stage 3",$B$5=20,$B$11&gt;11),1,IF(AND($B$3="Stage 3",OR($B$15="Year 10-11-12 Girls"),$B$5&gt;20),MAX(2,Setup!$B$14),Setup!$B$14)))))</f>
        <v>0</v>
      </c>
      <c r="BV54" s="20" t="b">
        <f>IF(AU54="",FALSE,AND(AU54&lt;&gt;IF(AND($B$3="Stage 3",OR($B$15="Year 8 Boys",$B$15="Year 9 Boys",$B$15="Year 10-11 Boys"),$B$8="One Keeper"),$E$4,""),AU54&lt;&gt;$B54,AU54&lt;&gt;$C53,IFERROR(INDEX($E$18:$E$30,MATCH(AU54,$B$18:$B$30,0)),"No")="Yes",COUNTIF($C$32:$C53,AU54)&lt;$B$6,COUNTIF($C$32:$C53,AU54)&lt;IF($B$3="Stage 1",MIN($B$6,MAX(1,INT($B$5/$B$11))),IF(AND($B$3="Stage 3",$B$5=20,$B$11&gt;11),1,IF(AND($B$3="Stage 3",OR($B$15="Year 10-11-12 Girls"),$B$5&gt;20),MAX(2,Setup!$B$14),Setup!$B$14)))))</f>
        <v>0</v>
      </c>
      <c r="BW54" s="20"/>
      <c r="BX54" s="20"/>
      <c r="BY54" s="20"/>
      <c r="BZ54" s="20"/>
      <c r="CA54" s="20"/>
      <c r="CB54" s="20"/>
      <c r="CC54" s="20"/>
      <c r="CD54" s="20"/>
      <c r="CE54" s="20"/>
      <c r="CF54" s="20"/>
      <c r="CG54" s="20"/>
      <c r="CH54" s="20"/>
      <c r="CI54" s="20"/>
      <c r="CJ54" s="20"/>
      <c r="CK54" s="20"/>
    </row>
    <row r="55" spans="1:89" ht="15" customHeight="1">
      <c r="A55" s="18">
        <v>24</v>
      </c>
      <c r="B55" s="18" t="str">
        <f t="shared" si="5"/>
        <v/>
      </c>
      <c r="C55" s="18" t="str">
        <f t="shared" si="6"/>
        <v/>
      </c>
      <c r="D55" s="18">
        <f t="shared" si="7"/>
        <v>8</v>
      </c>
      <c r="E55" s="18" t="str">
        <f>IF($C55="","",COUNTIF($C$32:C55,$C55))</f>
        <v/>
      </c>
      <c r="F55" s="18" t="str">
        <f t="shared" si="8"/>
        <v/>
      </c>
      <c r="T55" s="20" t="str">
        <f t="shared" si="15"/>
        <v/>
      </c>
      <c r="U55" s="20" t="b">
        <f>IF(OR($B$3="Stage 2",AND($B$3="Stage 3",OR($B$15="Year 10-11-12 Girls"))),(IF(AND($P$18&lt;&gt;"",$P$18&lt;&gt;$E$4,COUNTIF($C$32:$C54,$P$18)&gt;=2),1,0)+IF(AND($P$19&lt;&gt;"",$P$19&lt;&gt;$E$4,COUNTIF($C$32:$C54,$P$19)&gt;=2),1,0)+IF(AND($P$20&lt;&gt;"",$P$20&lt;&gt;$E$4,COUNTIF($C$32:$C54,$P$20)&gt;=2),1,0)+IF(AND($P$21&lt;&gt;"",$P$21&lt;&gt;$E$4,COUNTIF($C$32:$C54,$P$21)&gt;=2),1,0)+IF(AND($P$22&lt;&gt;"",$P$22&lt;&gt;$E$4,COUNTIF($C$32:$C54,$P$22)&gt;=2),1,0)+IF(AND($P$23&lt;&gt;"",$P$23&lt;&gt;$E$4,COUNTIF($C$32:$C54,$P$23)&gt;=2),1,0)+IF(AND($P$24&lt;&gt;"",$P$24&lt;&gt;$E$4,COUNTIF($C$32:$C54,$P$24)&gt;=2),1,0)+IF(AND($P$25&lt;&gt;"",$P$25&lt;&gt;$E$4,COUNTIF($C$32:$C54,$P$25)&gt;=2),1,0)+IF(AND($P$26&lt;&gt;"",$P$26&lt;&gt;$E$4,COUNTIF($C$32:$C54,$P$26)&gt;=2),1,0)+IF(AND($P$27&lt;&gt;"",$P$27&lt;&gt;$E$4,COUNTIF($C$32:$C54,$P$27)&gt;=2),1,0)+IF(AND($P$28&lt;&gt;"",$P$28&lt;&gt;$E$4,COUNTIF($C$32:$C54,$P$28)&gt;=2),1,0)+IF(AND($P$29&lt;&gt;"",$P$29&lt;&gt;$E$4,COUNTIF($C$32:$C54,$P$29)&gt;=2),1,0)+IF(AND($P$30&lt;&gt;"",$P$30&lt;&gt;$E$4,COUNTIF($C$32:$C54,$P$30)&gt;=2),1,0))&gt;=MAX(0,$B$11-1),IF(AND($B$3="Stage 3",OR($B$15="Year 8 Boys",$B$15="Year 9 Boys",$B$15="Year 10-11 Boys")),(IF(AND($P$18&lt;&gt;"",COUNTIF($C$32:$C54,$P$18)&gt;=2),1,0)+IF(AND($P$19&lt;&gt;"",COUNTIF($C$32:$C54,$P$19)&gt;=2),1,0)+IF(AND($P$20&lt;&gt;"",COUNTIF($C$32:$C54,$P$20)&gt;=2),1,0)+IF(AND($P$21&lt;&gt;"",COUNTIF($C$32:$C54,$P$21)&gt;=2),1,0)+IF(AND($P$22&lt;&gt;"",COUNTIF($C$32:$C54,$P$22)&gt;=2),1,0)+IF(AND($P$23&lt;&gt;"",COUNTIF($C$32:$C54,$P$23)&gt;=2),1,0)+IF(AND($P$24&lt;&gt;"",COUNTIF($C$32:$C54,$P$24)&gt;=2),1,0)+IF(AND($P$25&lt;&gt;"",COUNTIF($C$32:$C54,$P$25)&gt;=2),1,0)+IF(AND($P$26&lt;&gt;"",COUNTIF($C$32:$C54,$P$26)&gt;=2),1,0)+IF(AND($P$27&lt;&gt;"",COUNTIF($C$32:$C54,$P$27)&gt;=2),1,0)+IF(AND($P$28&lt;&gt;"",COUNTIF($C$32:$C54,$P$28)&gt;=2),1,0)+IF(AND($P$29&lt;&gt;"",COUNTIF($C$32:$C54,$P$29)&gt;=2),1,0)+IF(AND($P$30&lt;&gt;"",COUNTIF($C$32:$C54,$P$30)&gt;=2),1,0))&gt;=7,TRUE))</f>
        <v>1</v>
      </c>
      <c r="V55" s="20" t="str">
        <f t="shared" si="31"/>
        <v/>
      </c>
      <c r="W55" s="20" t="str">
        <f t="shared" si="31"/>
        <v/>
      </c>
      <c r="X55" s="20" t="str">
        <f t="shared" si="31"/>
        <v/>
      </c>
      <c r="Y55" s="20" t="str">
        <f t="shared" si="31"/>
        <v/>
      </c>
      <c r="Z55" s="20" t="str">
        <f t="shared" si="31"/>
        <v/>
      </c>
      <c r="AA55" s="20" t="str">
        <f t="shared" si="31"/>
        <v/>
      </c>
      <c r="AB55" s="20" t="str">
        <f t="shared" si="31"/>
        <v/>
      </c>
      <c r="AC55" s="20" t="str">
        <f t="shared" si="31"/>
        <v/>
      </c>
      <c r="AD55" s="20" t="str">
        <f t="shared" si="31"/>
        <v/>
      </c>
      <c r="AE55" s="20" t="str">
        <f t="shared" si="31"/>
        <v/>
      </c>
      <c r="AF55" s="20" t="str">
        <f t="shared" si="31"/>
        <v/>
      </c>
      <c r="AG55" s="20" t="str">
        <f t="shared" si="31"/>
        <v/>
      </c>
      <c r="AH55" s="20" t="str">
        <f t="shared" si="31"/>
        <v/>
      </c>
      <c r="AI55" s="20" t="str">
        <f t="shared" si="17"/>
        <v/>
      </c>
      <c r="AJ55" s="20" t="str">
        <f t="shared" si="18"/>
        <v/>
      </c>
      <c r="AK55" s="20" t="str">
        <f t="shared" si="19"/>
        <v/>
      </c>
      <c r="AL55" s="20" t="str">
        <f t="shared" si="20"/>
        <v/>
      </c>
      <c r="AM55" s="20" t="str">
        <f t="shared" si="21"/>
        <v/>
      </c>
      <c r="AN55" s="20" t="str">
        <f t="shared" si="22"/>
        <v/>
      </c>
      <c r="AO55" s="20" t="str">
        <f t="shared" si="23"/>
        <v/>
      </c>
      <c r="AP55" s="20" t="str">
        <f t="shared" si="24"/>
        <v/>
      </c>
      <c r="AQ55" s="20" t="str">
        <f t="shared" si="25"/>
        <v/>
      </c>
      <c r="AR55" s="20" t="str">
        <f t="shared" si="26"/>
        <v/>
      </c>
      <c r="AS55" s="20" t="str">
        <f t="shared" si="27"/>
        <v/>
      </c>
      <c r="AT55" s="20" t="str">
        <f t="shared" si="28"/>
        <v/>
      </c>
      <c r="AU55" s="20" t="str">
        <f t="shared" si="29"/>
        <v/>
      </c>
      <c r="AV55" s="20" t="b">
        <f>IF(AI55="",FALSE,AND(AI55&lt;&gt;$B55,AI55&lt;&gt;$C54,IFERROR(INDEX($E$18:$E$30,MATCH(AI55,$B$18:$B$30,0)),"No")="Yes",IF(AND(OR($B$3="Stage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Girls"))),$B$5&gt;20),MIN(3,MAX(2,Setup!$B$14)),2))*2),AI55=$E$5,IF(AND(OR($B$3="Stage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Girls"))),$B$5&gt;20),MIN(3,MAX(2,Setup!$B$14)),2))*2-1))),AI55=$E$4,TRUE)),COUNTIF($C$32:$C54,AI55)&lt;$B$6,IF($BI55,COUNTIF($C$32:$C54,AI55)&lt;IF($B$3="Stage 1",MIN($B$6,MAX(1,INT($B$5/$B$11))),IF(AND($B$3="Stage 3",$B$5=20,$B$11&gt;11),1,IF(AND($B$3="Stage 3",OR($B$15="Year 10-11-12 Girls"),$B$5&gt;20),MAX(2,Setup!$B$14),Setup!$B$14))),IF(AND($B$3&lt;&gt;"Stage 2",$B$3&lt;&gt;"Stage 3"),TRUE,IF($U55,TRUE,COUNTIF($C$32:$C54,AI55)&lt;IF(AND($B$3="Stage 2",$B$5=20,AI55=$E$5,$A55&lt;=IF($B$8="One Keeper",$B$5,$B$8)),2,IF(AND(OR($B$3="Stage 2",AND($B$3="Stage 3",OR($B$15="Year 10-11-12 Girls"))),AI55=$E$5,$A55&lt;=IF($B$8="One Keeper",$B$5,$B$8)),3,$B$9)))))))</f>
        <v>0</v>
      </c>
      <c r="AW55" s="20" t="b">
        <f>IF(AJ55="",FALSE,AND(AJ55&lt;&gt;$B55,AJ55&lt;&gt;$C54,IFERROR(INDEX($E$18:$E$30,MATCH(AJ55,$B$18:$B$30,0)),"No")="Yes",IF(AND(OR($B$3="Stage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Girls"))),$B$5&gt;20),MIN(3,MAX(2,Setup!$B$14)),2))*2),AJ55=$E$5,IF(AND(OR($B$3="Stage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Girls"))),$B$5&gt;20),MIN(3,MAX(2,Setup!$B$14)),2))*2-1))),AJ55=$E$4,TRUE)),COUNTIF($C$32:$C54,AJ55)&lt;$B$6,IF($BI55,COUNTIF($C$32:$C54,AJ55)&lt;IF($B$3="Stage 1",MIN($B$6,MAX(1,INT($B$5/$B$11))),IF(AND($B$3="Stage 3",$B$5=20,$B$11&gt;11),1,IF(AND($B$3="Stage 3",OR($B$15="Year 10-11-12 Girls"),$B$5&gt;20),MAX(2,Setup!$B$14),Setup!$B$14))),IF(AND($B$3&lt;&gt;"Stage 2",$B$3&lt;&gt;"Stage 3"),TRUE,IF($U55,TRUE,COUNTIF($C$32:$C54,AJ55)&lt;IF(AND($B$3="Stage 2",$B$5=20,AJ55=$E$5,$A55&lt;=IF($B$8="One Keeper",$B$5,$B$8)),2,IF(AND(OR($B$3="Stage 2",AND($B$3="Stage 3",OR($B$15="Year 10-11-12 Girls"))),AJ55=$E$5,$A55&lt;=IF($B$8="One Keeper",$B$5,$B$8)),3,$B$9)))))))</f>
        <v>0</v>
      </c>
      <c r="AX55" s="20" t="b">
        <f>IF(AK55="",FALSE,AND(AK55&lt;&gt;$B55,AK55&lt;&gt;$C54,IFERROR(INDEX($E$18:$E$30,MATCH(AK55,$B$18:$B$30,0)),"No")="Yes",IF(AND(OR($B$3="Stage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Girls"))),$B$5&gt;20),MIN(3,MAX(2,Setup!$B$14)),2))*2),AK55=$E$5,IF(AND(OR($B$3="Stage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Girls"))),$B$5&gt;20),MIN(3,MAX(2,Setup!$B$14)),2))*2-1))),AK55=$E$4,TRUE)),COUNTIF($C$32:$C54,AK55)&lt;$B$6,IF($BI55,COUNTIF($C$32:$C54,AK55)&lt;IF($B$3="Stage 1",MIN($B$6,MAX(1,INT($B$5/$B$11))),IF(AND($B$3="Stage 3",$B$5=20,$B$11&gt;11),1,IF(AND($B$3="Stage 3",OR($B$15="Year 10-11-12 Girls"),$B$5&gt;20),MAX(2,Setup!$B$14),Setup!$B$14))),IF(AND($B$3&lt;&gt;"Stage 2",$B$3&lt;&gt;"Stage 3"),TRUE,IF($U55,TRUE,COUNTIF($C$32:$C54,AK55)&lt;IF(AND($B$3="Stage 2",$B$5=20,AK55=$E$5,$A55&lt;=IF($B$8="One Keeper",$B$5,$B$8)),2,IF(AND(OR($B$3="Stage 2",AND($B$3="Stage 3",OR($B$15="Year 10-11-12 Girls"))),AK55=$E$5,$A55&lt;=IF($B$8="One Keeper",$B$5,$B$8)),3,$B$9)))))))</f>
        <v>0</v>
      </c>
      <c r="AY55" s="20" t="b">
        <f>IF(AL55="",FALSE,AND(AL55&lt;&gt;$B55,AL55&lt;&gt;$C54,IFERROR(INDEX($E$18:$E$30,MATCH(AL55,$B$18:$B$30,0)),"No")="Yes",IF(AND(OR($B$3="Stage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Girls"))),$B$5&gt;20),MIN(3,MAX(2,Setup!$B$14)),2))*2),AL55=$E$5,IF(AND(OR($B$3="Stage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Girls"))),$B$5&gt;20),MIN(3,MAX(2,Setup!$B$14)),2))*2-1))),AL55=$E$4,TRUE)),COUNTIF($C$32:$C54,AL55)&lt;$B$6,IF($BI55,COUNTIF($C$32:$C54,AL55)&lt;IF($B$3="Stage 1",MIN($B$6,MAX(1,INT($B$5/$B$11))),IF(AND($B$3="Stage 3",$B$5=20,$B$11&gt;11),1,IF(AND($B$3="Stage 3",OR($B$15="Year 10-11-12 Girls"),$B$5&gt;20),MAX(2,Setup!$B$14),Setup!$B$14))),IF(AND($B$3&lt;&gt;"Stage 2",$B$3&lt;&gt;"Stage 3"),TRUE,IF($U55,TRUE,COUNTIF($C$32:$C54,AL55)&lt;IF(AND($B$3="Stage 2",$B$5=20,AL55=$E$5,$A55&lt;=IF($B$8="One Keeper",$B$5,$B$8)),2,IF(AND(OR($B$3="Stage 2",AND($B$3="Stage 3",OR($B$15="Year 10-11-12 Girls"))),AL55=$E$5,$A55&lt;=IF($B$8="One Keeper",$B$5,$B$8)),3,$B$9)))))))</f>
        <v>0</v>
      </c>
      <c r="AZ55" s="20" t="b">
        <f>IF(AM55="",FALSE,AND(AM55&lt;&gt;$B55,AM55&lt;&gt;$C54,IFERROR(INDEX($E$18:$E$30,MATCH(AM55,$B$18:$B$30,0)),"No")="Yes",IF(AND(OR($B$3="Stage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Girls"))),$B$5&gt;20),MIN(3,MAX(2,Setup!$B$14)),2))*2),AM55=$E$5,IF(AND(OR($B$3="Stage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Girls"))),$B$5&gt;20),MIN(3,MAX(2,Setup!$B$14)),2))*2-1))),AM55=$E$4,TRUE)),COUNTIF($C$32:$C54,AM55)&lt;$B$6,IF($BI55,COUNTIF($C$32:$C54,AM55)&lt;IF($B$3="Stage 1",MIN($B$6,MAX(1,INT($B$5/$B$11))),IF(AND($B$3="Stage 3",$B$5=20,$B$11&gt;11),1,IF(AND($B$3="Stage 3",OR($B$15="Year 10-11-12 Girls"),$B$5&gt;20),MAX(2,Setup!$B$14),Setup!$B$14))),IF(AND($B$3&lt;&gt;"Stage 2",$B$3&lt;&gt;"Stage 3"),TRUE,IF($U55,TRUE,COUNTIF($C$32:$C54,AM55)&lt;IF(AND($B$3="Stage 2",$B$5=20,AM55=$E$5,$A55&lt;=IF($B$8="One Keeper",$B$5,$B$8)),2,IF(AND(OR($B$3="Stage 2",AND($B$3="Stage 3",OR($B$15="Year 10-11-12 Girls"))),AM55=$E$5,$A55&lt;=IF($B$8="One Keeper",$B$5,$B$8)),3,$B$9)))))))</f>
        <v>0</v>
      </c>
      <c r="BA55" s="20" t="b">
        <f>IF(AN55="",FALSE,AND(AN55&lt;&gt;$B55,AN55&lt;&gt;$C54,IFERROR(INDEX($E$18:$E$30,MATCH(AN55,$B$18:$B$30,0)),"No")="Yes",IF(AND(OR($B$3="Stage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Girls"))),$B$5&gt;20),MIN(3,MAX(2,Setup!$B$14)),2))*2),AN55=$E$5,IF(AND(OR($B$3="Stage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Girls"))),$B$5&gt;20),MIN(3,MAX(2,Setup!$B$14)),2))*2-1))),AN55=$E$4,TRUE)),COUNTIF($C$32:$C54,AN55)&lt;$B$6,IF($BI55,COUNTIF($C$32:$C54,AN55)&lt;IF($B$3="Stage 1",MIN($B$6,MAX(1,INT($B$5/$B$11))),IF(AND($B$3="Stage 3",$B$5=20,$B$11&gt;11),1,IF(AND($B$3="Stage 3",OR($B$15="Year 10-11-12 Girls"),$B$5&gt;20),MAX(2,Setup!$B$14),Setup!$B$14))),IF(AND($B$3&lt;&gt;"Stage 2",$B$3&lt;&gt;"Stage 3"),TRUE,IF($U55,TRUE,COUNTIF($C$32:$C54,AN55)&lt;IF(AND($B$3="Stage 2",$B$5=20,AN55=$E$5,$A55&lt;=IF($B$8="One Keeper",$B$5,$B$8)),2,IF(AND(OR($B$3="Stage 2",AND($B$3="Stage 3",OR($B$15="Year 10-11-12 Girls"))),AN55=$E$5,$A55&lt;=IF($B$8="One Keeper",$B$5,$B$8)),3,$B$9)))))))</f>
        <v>0</v>
      </c>
      <c r="BB55" s="20" t="b">
        <f>IF(AO55="",FALSE,AND(AO55&lt;&gt;$B55,AO55&lt;&gt;$C54,IFERROR(INDEX($E$18:$E$30,MATCH(AO55,$B$18:$B$30,0)),"No")="Yes",IF(AND(OR($B$3="Stage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Girls"))),$B$5&gt;20),MIN(3,MAX(2,Setup!$B$14)),2))*2),AO55=$E$5,IF(AND(OR($B$3="Stage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Girls"))),$B$5&gt;20),MIN(3,MAX(2,Setup!$B$14)),2))*2-1))),AO55=$E$4,TRUE)),COUNTIF($C$32:$C54,AO55)&lt;$B$6,IF($BI55,COUNTIF($C$32:$C54,AO55)&lt;IF($B$3="Stage 1",MIN($B$6,MAX(1,INT($B$5/$B$11))),IF(AND($B$3="Stage 3",$B$5=20,$B$11&gt;11),1,IF(AND($B$3="Stage 3",OR($B$15="Year 10-11-12 Girls"),$B$5&gt;20),MAX(2,Setup!$B$14),Setup!$B$14))),IF(AND($B$3&lt;&gt;"Stage 2",$B$3&lt;&gt;"Stage 3"),TRUE,IF($U55,TRUE,COUNTIF($C$32:$C54,AO55)&lt;IF(AND($B$3="Stage 2",$B$5=20,AO55=$E$5,$A55&lt;=IF($B$8="One Keeper",$B$5,$B$8)),2,IF(AND(OR($B$3="Stage 2",AND($B$3="Stage 3",OR($B$15="Year 10-11-12 Girls"))),AO55=$E$5,$A55&lt;=IF($B$8="One Keeper",$B$5,$B$8)),3,$B$9)))))))</f>
        <v>0</v>
      </c>
      <c r="BC55" s="20" t="b">
        <f>IF(AP55="",FALSE,AND(AP55&lt;&gt;$B55,AP55&lt;&gt;$C54,IFERROR(INDEX($E$18:$E$30,MATCH(AP55,$B$18:$B$30,0)),"No")="Yes",IF(AND(OR($B$3="Stage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Girls"))),$B$5&gt;20),MIN(3,MAX(2,Setup!$B$14)),2))*2),AP55=$E$5,IF(AND(OR($B$3="Stage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Girls"))),$B$5&gt;20),MIN(3,MAX(2,Setup!$B$14)),2))*2-1))),AP55=$E$4,TRUE)),COUNTIF($C$32:$C54,AP55)&lt;$B$6,IF($BI55,COUNTIF($C$32:$C54,AP55)&lt;IF($B$3="Stage 1",MIN($B$6,MAX(1,INT($B$5/$B$11))),IF(AND($B$3="Stage 3",$B$5=20,$B$11&gt;11),1,IF(AND($B$3="Stage 3",OR($B$15="Year 10-11-12 Girls"),$B$5&gt;20),MAX(2,Setup!$B$14),Setup!$B$14))),IF(AND($B$3&lt;&gt;"Stage 2",$B$3&lt;&gt;"Stage 3"),TRUE,IF($U55,TRUE,COUNTIF($C$32:$C54,AP55)&lt;IF(AND($B$3="Stage 2",$B$5=20,AP55=$E$5,$A55&lt;=IF($B$8="One Keeper",$B$5,$B$8)),2,IF(AND(OR($B$3="Stage 2",AND($B$3="Stage 3",OR($B$15="Year 10-11-12 Girls"))),AP55=$E$5,$A55&lt;=IF($B$8="One Keeper",$B$5,$B$8)),3,$B$9)))))))</f>
        <v>0</v>
      </c>
      <c r="BD55" s="20" t="b">
        <f>IF(AQ55="",FALSE,AND(AQ55&lt;&gt;$B55,AQ55&lt;&gt;$C54,IFERROR(INDEX($E$18:$E$30,MATCH(AQ55,$B$18:$B$30,0)),"No")="Yes",IF(AND(OR($B$3="Stage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Girls"))),$B$5&gt;20),MIN(3,MAX(2,Setup!$B$14)),2))*2),AQ55=$E$5,IF(AND(OR($B$3="Stage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Girls"))),$B$5&gt;20),MIN(3,MAX(2,Setup!$B$14)),2))*2-1))),AQ55=$E$4,TRUE)),COUNTIF($C$32:$C54,AQ55)&lt;$B$6,IF($BI55,COUNTIF($C$32:$C54,AQ55)&lt;IF($B$3="Stage 1",MIN($B$6,MAX(1,INT($B$5/$B$11))),IF(AND($B$3="Stage 3",$B$5=20,$B$11&gt;11),1,IF(AND($B$3="Stage 3",OR($B$15="Year 10-11-12 Girls"),$B$5&gt;20),MAX(2,Setup!$B$14),Setup!$B$14))),IF(AND($B$3&lt;&gt;"Stage 2",$B$3&lt;&gt;"Stage 3"),TRUE,IF($U55,TRUE,COUNTIF($C$32:$C54,AQ55)&lt;IF(AND($B$3="Stage 2",$B$5=20,AQ55=$E$5,$A55&lt;=IF($B$8="One Keeper",$B$5,$B$8)),2,IF(AND(OR($B$3="Stage 2",AND($B$3="Stage 3",OR($B$15="Year 10-11-12 Girls"))),AQ55=$E$5,$A55&lt;=IF($B$8="One Keeper",$B$5,$B$8)),3,$B$9)))))))</f>
        <v>0</v>
      </c>
      <c r="BE55" s="20" t="b">
        <f>IF(AR55="",FALSE,AND(AR55&lt;&gt;$B55,AR55&lt;&gt;$C54,IFERROR(INDEX($E$18:$E$30,MATCH(AR55,$B$18:$B$30,0)),"No")="Yes",IF(AND(OR($B$3="Stage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Girls"))),$B$5&gt;20),MIN(3,MAX(2,Setup!$B$14)),2))*2),AR55=$E$5,IF(AND(OR($B$3="Stage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Girls"))),$B$5&gt;20),MIN(3,MAX(2,Setup!$B$14)),2))*2-1))),AR55=$E$4,TRUE)),COUNTIF($C$32:$C54,AR55)&lt;$B$6,IF($BI55,COUNTIF($C$32:$C54,AR55)&lt;IF($B$3="Stage 1",MIN($B$6,MAX(1,INT($B$5/$B$11))),IF(AND($B$3="Stage 3",$B$5=20,$B$11&gt;11),1,IF(AND($B$3="Stage 3",OR($B$15="Year 10-11-12 Girls"),$B$5&gt;20),MAX(2,Setup!$B$14),Setup!$B$14))),IF(AND($B$3&lt;&gt;"Stage 2",$B$3&lt;&gt;"Stage 3"),TRUE,IF($U55,TRUE,COUNTIF($C$32:$C54,AR55)&lt;IF(AND($B$3="Stage 2",$B$5=20,AR55=$E$5,$A55&lt;=IF($B$8="One Keeper",$B$5,$B$8)),2,IF(AND(OR($B$3="Stage 2",AND($B$3="Stage 3",OR($B$15="Year 10-11-12 Girls"))),AR55=$E$5,$A55&lt;=IF($B$8="One Keeper",$B$5,$B$8)),3,$B$9)))))))</f>
        <v>0</v>
      </c>
      <c r="BF55" s="20" t="b">
        <f>IF(AS55="",FALSE,AND(AS55&lt;&gt;$B55,AS55&lt;&gt;$C54,IFERROR(INDEX($E$18:$E$30,MATCH(AS55,$B$18:$B$30,0)),"No")="Yes",IF(AND(OR($B$3="Stage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Girls"))),$B$5&gt;20),MIN(3,MAX(2,Setup!$B$14)),2))*2),AS55=$E$5,IF(AND(OR($B$3="Stage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Girls"))),$B$5&gt;20),MIN(3,MAX(2,Setup!$B$14)),2))*2-1))),AS55=$E$4,TRUE)),COUNTIF($C$32:$C54,AS55)&lt;$B$6,IF($BI55,COUNTIF($C$32:$C54,AS55)&lt;IF($B$3="Stage 1",MIN($B$6,MAX(1,INT($B$5/$B$11))),IF(AND($B$3="Stage 3",$B$5=20,$B$11&gt;11),1,IF(AND($B$3="Stage 3",OR($B$15="Year 10-11-12 Girls"),$B$5&gt;20),MAX(2,Setup!$B$14),Setup!$B$14))),IF(AND($B$3&lt;&gt;"Stage 2",$B$3&lt;&gt;"Stage 3"),TRUE,IF($U55,TRUE,COUNTIF($C$32:$C54,AS55)&lt;IF(AND($B$3="Stage 2",$B$5=20,AS55=$E$5,$A55&lt;=IF($B$8="One Keeper",$B$5,$B$8)),2,IF(AND(OR($B$3="Stage 2",AND($B$3="Stage 3",OR($B$15="Year 10-11-12 Girls"))),AS55=$E$5,$A55&lt;=IF($B$8="One Keeper",$B$5,$B$8)),3,$B$9)))))))</f>
        <v>0</v>
      </c>
      <c r="BG55" s="20" t="b">
        <f>IF(AT55="",FALSE,AND(AT55&lt;&gt;$B55,AT55&lt;&gt;$C54,IFERROR(INDEX($E$18:$E$30,MATCH(AT55,$B$18:$B$30,0)),"No")="Yes",IF(AND(OR($B$3="Stage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Girls"))),$B$5&gt;20),MIN(3,MAX(2,Setup!$B$14)),2))*2),AT55=$E$5,IF(AND(OR($B$3="Stage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Girls"))),$B$5&gt;20),MIN(3,MAX(2,Setup!$B$14)),2))*2-1))),AT55=$E$4,TRUE)),COUNTIF($C$32:$C54,AT55)&lt;$B$6,IF($BI55,COUNTIF($C$32:$C54,AT55)&lt;IF($B$3="Stage 1",MIN($B$6,MAX(1,INT($B$5/$B$11))),IF(AND($B$3="Stage 3",$B$5=20,$B$11&gt;11),1,IF(AND($B$3="Stage 3",OR($B$15="Year 10-11-12 Girls"),$B$5&gt;20),MAX(2,Setup!$B$14),Setup!$B$14))),IF(AND($B$3&lt;&gt;"Stage 2",$B$3&lt;&gt;"Stage 3"),TRUE,IF($U55,TRUE,COUNTIF($C$32:$C54,AT55)&lt;IF(AND($B$3="Stage 2",$B$5=20,AT55=$E$5,$A55&lt;=IF($B$8="One Keeper",$B$5,$B$8)),2,IF(AND(OR($B$3="Stage 2",AND($B$3="Stage 3",OR($B$15="Year 10-11-12 Girls"))),AT55=$E$5,$A55&lt;=IF($B$8="One Keeper",$B$5,$B$8)),3,$B$9)))))))</f>
        <v>0</v>
      </c>
      <c r="BH55" s="20" t="b">
        <f>IF(AU55="",FALSE,AND(AU55&lt;&gt;$B55,AU55&lt;&gt;$C54,IFERROR(INDEX($E$18:$E$30,MATCH(AU55,$B$18:$B$30,0)),"No")="Yes",IF(AND(OR($B$3="Stage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Girls"))),$B$5&gt;20),MIN(3,MAX(2,Setup!$B$14)),2))*2),AU55=$E$5,IF(AND(OR($B$3="Stage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Girls"))),$B$5&gt;20),MIN(3,MAX(2,Setup!$B$14)),2))*2-1))),AU55=$E$4,TRUE)),COUNTIF($C$32:$C54,AU55)&lt;$B$6,IF($BI55,COUNTIF($C$32:$C54,AU55)&lt;IF($B$3="Stage 1",MIN($B$6,MAX(1,INT($B$5/$B$11))),IF(AND($B$3="Stage 3",$B$5=20,$B$11&gt;11),1,IF(AND($B$3="Stage 3",OR($B$15="Year 10-11-12 Girls"),$B$5&gt;20),MAX(2,Setup!$B$14),Setup!$B$14))),IF(AND($B$3&lt;&gt;"Stage 2",$B$3&lt;&gt;"Stage 3"),TRUE,IF($U55,TRUE,COUNTIF($C$32:$C54,AU55)&lt;IF(AND($B$3="Stage 2",$B$5=20,AU55=$E$5,$A55&lt;=IF($B$8="One Keeper",$B$5,$B$8)),2,IF(AND(OR($B$3="Stage 2",AND($B$3="Stage 3",OR($B$15="Year 10-11-12 Girls"))),AU55=$E$5,$A55&lt;=IF($B$8="One Keeper",$B$5,$B$8)),3,$B$9)))))))</f>
        <v>0</v>
      </c>
      <c r="BI55"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Keeper",$E$4&lt;&gt;$E$5,$A55&lt;=IF($B$8="One Keeper",$B$5,$B$8),COUNTIF($C$32:$C54,$E$5)&lt;IF(AND($B$3="Stage 3",$B$5=20,$B$11&gt;11),1,IF(AND(OR($B$3="Stage 2",AND($B$3="Stage 3",OR($B$15="Year 10-11-12 Girls"))),$B$5&gt;20),MIN(3,MAX(2,Setup!$B$14)),2)),IFERROR(INDEX($E$18:$E$30,MATCH($E$5,$B$18:$B$30,0)),"No")="Yes",$C54&lt;&gt;$E$5,MOD($A55,2)=0,$A55&lt;=IF(AND($B$3="Stage 3",$B$5=20,$B$11&gt;11),1,IF(AND(OR($B$3="Stage 2",AND($B$3="Stage 3",OR($B$15="Year 10-11-12 Girls"))),$B$5&gt;20),MIN(3,MAX(2,Setup!$B$14)),2))*2),AND(OR($B$3="Stage 1",$B$3="Stage 2",AND($B$3="Stage 3",OR(OR($B$15="Year 10-11-12 Girls"),OR($B$15="Year 8 Boys",$B$15="Year 9 Boys",$B$15="Year 10-11 Boys")))),$B$8&lt;&gt;"One Keeper",$E$4&lt;&gt;$E$5,$A55&gt;IF($B$8="One Keeper",$B$5,$B$8),COUNTIF($C$32:$C54,$E$4)&lt;IF(AND($B$3="Stage 3",$B$5=20,$B$11&gt;11),1,IF(AND(OR($B$3="Stage 2",AND($B$3="Stage 3",OR($B$15="Year 10-11-12 Girls"))),$B$5&gt;20),MIN(3,MAX(2,Setup!$B$14)),2)),IFERROR(INDEX($E$18:$E$30,MATCH($E$4,$B$18:$B$30,0)),"No")="Yes",$C54&lt;&gt;$E$4,IF($B$7="Three-over spell",AND(MOD($A55-IF($B$8="One Keeper",$B$5,$B$8)-1,3)=0,($A55-IF($B$8="One Keeper",$B$5,$B$8))&lt;=1+(IF(AND($B$3="Stage 3",$B$5=20,$B$11&gt;11),1,IF(AND(OR($B$3="Stage 2",AND($B$3="Stage 3",OR($B$15="Year 10-11-12 Girls"))),$B$5&gt;20),MIN(3,MAX(2,Setup!$B$14)),2))-1)*3),AND(MOD($A55-IF($B$8="One Keeper",$B$5,$B$8),2)=1,($A55-IF($B$8="One Keeper",$B$5,$B$8))&lt;=IF(AND($B$3="Stage 3",$B$5=20,$B$11&gt;11),1,IF(AND(OR($B$3="Stage 2",AND($B$3="Stage 3",OR($B$15="Year 10-11-12 Girls"))),$B$5&gt;20),MIN(3,MAX(2,Setup!$B$14)),2))*2-1))))),OR($U55,AND($B$3="Stage 3",$B$5=20,$B$11&gt;11)),OR($BJ55,$BK55,$BL55,$BM55,$BN55,$BO55,$BP55,$BQ55,$BR55,$BS55,$BT55,$BU55,$BV55))</f>
        <v>0</v>
      </c>
      <c r="BJ55" s="20" t="b">
        <f>IF(AI55="",FALSE,AND(AI55&lt;&gt;IF(AND($B$3="Stage 3",OR($B$15="Year 8 Boys",$B$15="Year 9 Boys",$B$15="Year 10-11 Boys"),$B$8="One Keeper"),$E$4,""),AI55&lt;&gt;$B55,AI55&lt;&gt;$C54,IFERROR(INDEX($E$18:$E$30,MATCH(AI55,$B$18:$B$30,0)),"No")="Yes",COUNTIF($C$32:$C54,AI55)&lt;$B$6,COUNTIF($C$32:$C54,AI55)&lt;IF($B$3="Stage 1",MIN($B$6,MAX(1,INT($B$5/$B$11))),IF(AND($B$3="Stage 3",$B$5=20,$B$11&gt;11),1,IF(AND($B$3="Stage 3",OR($B$15="Year 10-11-12 Girls"),$B$5&gt;20),MAX(2,Setup!$B$14),Setup!$B$14)))))</f>
        <v>0</v>
      </c>
      <c r="BK55" s="20" t="b">
        <f>IF(AJ55="",FALSE,AND(AJ55&lt;&gt;IF(AND($B$3="Stage 3",OR($B$15="Year 8 Boys",$B$15="Year 9 Boys",$B$15="Year 10-11 Boys"),$B$8="One Keeper"),$E$4,""),AJ55&lt;&gt;$B55,AJ55&lt;&gt;$C54,IFERROR(INDEX($E$18:$E$30,MATCH(AJ55,$B$18:$B$30,0)),"No")="Yes",COUNTIF($C$32:$C54,AJ55)&lt;$B$6,COUNTIF($C$32:$C54,AJ55)&lt;IF($B$3="Stage 1",MIN($B$6,MAX(1,INT($B$5/$B$11))),IF(AND($B$3="Stage 3",$B$5=20,$B$11&gt;11),1,IF(AND($B$3="Stage 3",OR($B$15="Year 10-11-12 Girls"),$B$5&gt;20),MAX(2,Setup!$B$14),Setup!$B$14)))))</f>
        <v>0</v>
      </c>
      <c r="BL55" s="20" t="b">
        <f>IF(AK55="",FALSE,AND(AK55&lt;&gt;IF(AND($B$3="Stage 3",OR($B$15="Year 8 Boys",$B$15="Year 9 Boys",$B$15="Year 10-11 Boys"),$B$8="One Keeper"),$E$4,""),AK55&lt;&gt;$B55,AK55&lt;&gt;$C54,IFERROR(INDEX($E$18:$E$30,MATCH(AK55,$B$18:$B$30,0)),"No")="Yes",COUNTIF($C$32:$C54,AK55)&lt;$B$6,COUNTIF($C$32:$C54,AK55)&lt;IF($B$3="Stage 1",MIN($B$6,MAX(1,INT($B$5/$B$11))),IF(AND($B$3="Stage 3",$B$5=20,$B$11&gt;11),1,IF(AND($B$3="Stage 3",OR($B$15="Year 10-11-12 Girls"),$B$5&gt;20),MAX(2,Setup!$B$14),Setup!$B$14)))))</f>
        <v>0</v>
      </c>
      <c r="BM55" s="20" t="b">
        <f>IF(AL55="",FALSE,AND(AL55&lt;&gt;IF(AND($B$3="Stage 3",OR($B$15="Year 8 Boys",$B$15="Year 9 Boys",$B$15="Year 10-11 Boys"),$B$8="One Keeper"),$E$4,""),AL55&lt;&gt;$B55,AL55&lt;&gt;$C54,IFERROR(INDEX($E$18:$E$30,MATCH(AL55,$B$18:$B$30,0)),"No")="Yes",COUNTIF($C$32:$C54,AL55)&lt;$B$6,COUNTIF($C$32:$C54,AL55)&lt;IF($B$3="Stage 1",MIN($B$6,MAX(1,INT($B$5/$B$11))),IF(AND($B$3="Stage 3",$B$5=20,$B$11&gt;11),1,IF(AND($B$3="Stage 3",OR($B$15="Year 10-11-12 Girls"),$B$5&gt;20),MAX(2,Setup!$B$14),Setup!$B$14)))))</f>
        <v>0</v>
      </c>
      <c r="BN55" s="20" t="b">
        <f>IF(AM55="",FALSE,AND(AM55&lt;&gt;IF(AND($B$3="Stage 3",OR($B$15="Year 8 Boys",$B$15="Year 9 Boys",$B$15="Year 10-11 Boys"),$B$8="One Keeper"),$E$4,""),AM55&lt;&gt;$B55,AM55&lt;&gt;$C54,IFERROR(INDEX($E$18:$E$30,MATCH(AM55,$B$18:$B$30,0)),"No")="Yes",COUNTIF($C$32:$C54,AM55)&lt;$B$6,COUNTIF($C$32:$C54,AM55)&lt;IF($B$3="Stage 1",MIN($B$6,MAX(1,INT($B$5/$B$11))),IF(AND($B$3="Stage 3",$B$5=20,$B$11&gt;11),1,IF(AND($B$3="Stage 3",OR($B$15="Year 10-11-12 Girls"),$B$5&gt;20),MAX(2,Setup!$B$14),Setup!$B$14)))))</f>
        <v>0</v>
      </c>
      <c r="BO55" s="20" t="b">
        <f>IF(AN55="",FALSE,AND(AN55&lt;&gt;IF(AND($B$3="Stage 3",OR($B$15="Year 8 Boys",$B$15="Year 9 Boys",$B$15="Year 10-11 Boys"),$B$8="One Keeper"),$E$4,""),AN55&lt;&gt;$B55,AN55&lt;&gt;$C54,IFERROR(INDEX($E$18:$E$30,MATCH(AN55,$B$18:$B$30,0)),"No")="Yes",COUNTIF($C$32:$C54,AN55)&lt;$B$6,COUNTIF($C$32:$C54,AN55)&lt;IF($B$3="Stage 1",MIN($B$6,MAX(1,INT($B$5/$B$11))),IF(AND($B$3="Stage 3",$B$5=20,$B$11&gt;11),1,IF(AND($B$3="Stage 3",OR($B$15="Year 10-11-12 Girls"),$B$5&gt;20),MAX(2,Setup!$B$14),Setup!$B$14)))))</f>
        <v>0</v>
      </c>
      <c r="BP55" s="20" t="b">
        <f>IF(AO55="",FALSE,AND(AO55&lt;&gt;IF(AND($B$3="Stage 3",OR($B$15="Year 8 Boys",$B$15="Year 9 Boys",$B$15="Year 10-11 Boys"),$B$8="One Keeper"),$E$4,""),AO55&lt;&gt;$B55,AO55&lt;&gt;$C54,IFERROR(INDEX($E$18:$E$30,MATCH(AO55,$B$18:$B$30,0)),"No")="Yes",COUNTIF($C$32:$C54,AO55)&lt;$B$6,COUNTIF($C$32:$C54,AO55)&lt;IF($B$3="Stage 1",MIN($B$6,MAX(1,INT($B$5/$B$11))),IF(AND($B$3="Stage 3",$B$5=20,$B$11&gt;11),1,IF(AND($B$3="Stage 3",OR($B$15="Year 10-11-12 Girls"),$B$5&gt;20),MAX(2,Setup!$B$14),Setup!$B$14)))))</f>
        <v>0</v>
      </c>
      <c r="BQ55" s="20" t="b">
        <f>IF(AP55="",FALSE,AND(AP55&lt;&gt;IF(AND($B$3="Stage 3",OR($B$15="Year 8 Boys",$B$15="Year 9 Boys",$B$15="Year 10-11 Boys"),$B$8="One Keeper"),$E$4,""),AP55&lt;&gt;$B55,AP55&lt;&gt;$C54,IFERROR(INDEX($E$18:$E$30,MATCH(AP55,$B$18:$B$30,0)),"No")="Yes",COUNTIF($C$32:$C54,AP55)&lt;$B$6,COUNTIF($C$32:$C54,AP55)&lt;IF($B$3="Stage 1",MIN($B$6,MAX(1,INT($B$5/$B$11))),IF(AND($B$3="Stage 3",$B$5=20,$B$11&gt;11),1,IF(AND($B$3="Stage 3",OR($B$15="Year 10-11-12 Girls"),$B$5&gt;20),MAX(2,Setup!$B$14),Setup!$B$14)))))</f>
        <v>0</v>
      </c>
      <c r="BR55" s="20" t="b">
        <f>IF(AQ55="",FALSE,AND(AQ55&lt;&gt;IF(AND($B$3="Stage 3",OR($B$15="Year 8 Boys",$B$15="Year 9 Boys",$B$15="Year 10-11 Boys"),$B$8="One Keeper"),$E$4,""),AQ55&lt;&gt;$B55,AQ55&lt;&gt;$C54,IFERROR(INDEX($E$18:$E$30,MATCH(AQ55,$B$18:$B$30,0)),"No")="Yes",COUNTIF($C$32:$C54,AQ55)&lt;$B$6,COUNTIF($C$32:$C54,AQ55)&lt;IF($B$3="Stage 1",MIN($B$6,MAX(1,INT($B$5/$B$11))),IF(AND($B$3="Stage 3",$B$5=20,$B$11&gt;11),1,IF(AND($B$3="Stage 3",OR($B$15="Year 10-11-12 Girls"),$B$5&gt;20),MAX(2,Setup!$B$14),Setup!$B$14)))))</f>
        <v>0</v>
      </c>
      <c r="BS55" s="20" t="b">
        <f>IF(AR55="",FALSE,AND(AR55&lt;&gt;IF(AND($B$3="Stage 3",OR($B$15="Year 8 Boys",$B$15="Year 9 Boys",$B$15="Year 10-11 Boys"),$B$8="One Keeper"),$E$4,""),AR55&lt;&gt;$B55,AR55&lt;&gt;$C54,IFERROR(INDEX($E$18:$E$30,MATCH(AR55,$B$18:$B$30,0)),"No")="Yes",COUNTIF($C$32:$C54,AR55)&lt;$B$6,COUNTIF($C$32:$C54,AR55)&lt;IF($B$3="Stage 1",MIN($B$6,MAX(1,INT($B$5/$B$11))),IF(AND($B$3="Stage 3",$B$5=20,$B$11&gt;11),1,IF(AND($B$3="Stage 3",OR($B$15="Year 10-11-12 Girls"),$B$5&gt;20),MAX(2,Setup!$B$14),Setup!$B$14)))))</f>
        <v>0</v>
      </c>
      <c r="BT55" s="20" t="b">
        <f>IF(AS55="",FALSE,AND(AS55&lt;&gt;IF(AND($B$3="Stage 3",OR($B$15="Year 8 Boys",$B$15="Year 9 Boys",$B$15="Year 10-11 Boys"),$B$8="One Keeper"),$E$4,""),AS55&lt;&gt;$B55,AS55&lt;&gt;$C54,IFERROR(INDEX($E$18:$E$30,MATCH(AS55,$B$18:$B$30,0)),"No")="Yes",COUNTIF($C$32:$C54,AS55)&lt;$B$6,COUNTIF($C$32:$C54,AS55)&lt;IF($B$3="Stage 1",MIN($B$6,MAX(1,INT($B$5/$B$11))),IF(AND($B$3="Stage 3",$B$5=20,$B$11&gt;11),1,IF(AND($B$3="Stage 3",OR($B$15="Year 10-11-12 Girls"),$B$5&gt;20),MAX(2,Setup!$B$14),Setup!$B$14)))))</f>
        <v>0</v>
      </c>
      <c r="BU55" s="20" t="b">
        <f>IF(AT55="",FALSE,AND(AT55&lt;&gt;IF(AND($B$3="Stage 3",OR($B$15="Year 8 Boys",$B$15="Year 9 Boys",$B$15="Year 10-11 Boys"),$B$8="One Keeper"),$E$4,""),AT55&lt;&gt;$B55,AT55&lt;&gt;$C54,IFERROR(INDEX($E$18:$E$30,MATCH(AT55,$B$18:$B$30,0)),"No")="Yes",COUNTIF($C$32:$C54,AT55)&lt;$B$6,COUNTIF($C$32:$C54,AT55)&lt;IF($B$3="Stage 1",MIN($B$6,MAX(1,INT($B$5/$B$11))),IF(AND($B$3="Stage 3",$B$5=20,$B$11&gt;11),1,IF(AND($B$3="Stage 3",OR($B$15="Year 10-11-12 Girls"),$B$5&gt;20),MAX(2,Setup!$B$14),Setup!$B$14)))))</f>
        <v>0</v>
      </c>
      <c r="BV55" s="20" t="b">
        <f>IF(AU55="",FALSE,AND(AU55&lt;&gt;IF(AND($B$3="Stage 3",OR($B$15="Year 8 Boys",$B$15="Year 9 Boys",$B$15="Year 10-11 Boys"),$B$8="One Keeper"),$E$4,""),AU55&lt;&gt;$B55,AU55&lt;&gt;$C54,IFERROR(INDEX($E$18:$E$30,MATCH(AU55,$B$18:$B$30,0)),"No")="Yes",COUNTIF($C$32:$C54,AU55)&lt;$B$6,COUNTIF($C$32:$C54,AU55)&lt;IF($B$3="Stage 1",MIN($B$6,MAX(1,INT($B$5/$B$11))),IF(AND($B$3="Stage 3",$B$5=20,$B$11&gt;11),1,IF(AND($B$3="Stage 3",OR($B$15="Year 10-11-12 Girls"),$B$5&gt;20),MAX(2,Setup!$B$14),Setup!$B$14)))))</f>
        <v>0</v>
      </c>
      <c r="BW55" s="20"/>
      <c r="BX55" s="20"/>
      <c r="BY55" s="20"/>
      <c r="BZ55" s="20"/>
      <c r="CA55" s="20"/>
      <c r="CB55" s="20"/>
      <c r="CC55" s="20"/>
      <c r="CD55" s="20"/>
      <c r="CE55" s="20"/>
      <c r="CF55" s="20"/>
      <c r="CG55" s="20"/>
      <c r="CH55" s="20"/>
      <c r="CI55" s="20"/>
      <c r="CJ55" s="20"/>
      <c r="CK55" s="20"/>
    </row>
    <row r="56" spans="1:89" ht="15" customHeight="1">
      <c r="A56" s="18">
        <v>25</v>
      </c>
      <c r="B56" s="18" t="str">
        <f t="shared" si="5"/>
        <v/>
      </c>
      <c r="C56" s="18" t="str">
        <f t="shared" si="6"/>
        <v/>
      </c>
      <c r="D56" s="18">
        <f t="shared" si="7"/>
        <v>8</v>
      </c>
      <c r="E56" s="18" t="str">
        <f>IF($C56="","",COUNTIF($C$32:C56,$C56))</f>
        <v/>
      </c>
      <c r="F56" s="18" t="str">
        <f t="shared" si="8"/>
        <v/>
      </c>
      <c r="T56" s="20" t="str">
        <f t="shared" si="15"/>
        <v/>
      </c>
      <c r="U56" s="20" t="b">
        <f>IF(OR($B$3="Stage 2",AND($B$3="Stage 3",OR($B$15="Year 10-11-12 Girls"))),(IF(AND($P$18&lt;&gt;"",$P$18&lt;&gt;$E$4,COUNTIF($C$32:$C55,$P$18)&gt;=2),1,0)+IF(AND($P$19&lt;&gt;"",$P$19&lt;&gt;$E$4,COUNTIF($C$32:$C55,$P$19)&gt;=2),1,0)+IF(AND($P$20&lt;&gt;"",$P$20&lt;&gt;$E$4,COUNTIF($C$32:$C55,$P$20)&gt;=2),1,0)+IF(AND($P$21&lt;&gt;"",$P$21&lt;&gt;$E$4,COUNTIF($C$32:$C55,$P$21)&gt;=2),1,0)+IF(AND($P$22&lt;&gt;"",$P$22&lt;&gt;$E$4,COUNTIF($C$32:$C55,$P$22)&gt;=2),1,0)+IF(AND($P$23&lt;&gt;"",$P$23&lt;&gt;$E$4,COUNTIF($C$32:$C55,$P$23)&gt;=2),1,0)+IF(AND($P$24&lt;&gt;"",$P$24&lt;&gt;$E$4,COUNTIF($C$32:$C55,$P$24)&gt;=2),1,0)+IF(AND($P$25&lt;&gt;"",$P$25&lt;&gt;$E$4,COUNTIF($C$32:$C55,$P$25)&gt;=2),1,0)+IF(AND($P$26&lt;&gt;"",$P$26&lt;&gt;$E$4,COUNTIF($C$32:$C55,$P$26)&gt;=2),1,0)+IF(AND($P$27&lt;&gt;"",$P$27&lt;&gt;$E$4,COUNTIF($C$32:$C55,$P$27)&gt;=2),1,0)+IF(AND($P$28&lt;&gt;"",$P$28&lt;&gt;$E$4,COUNTIF($C$32:$C55,$P$28)&gt;=2),1,0)+IF(AND($P$29&lt;&gt;"",$P$29&lt;&gt;$E$4,COUNTIF($C$32:$C55,$P$29)&gt;=2),1,0)+IF(AND($P$30&lt;&gt;"",$P$30&lt;&gt;$E$4,COUNTIF($C$32:$C55,$P$30)&gt;=2),1,0))&gt;=MAX(0,$B$11-1),IF(AND($B$3="Stage 3",OR($B$15="Year 8 Boys",$B$15="Year 9 Boys",$B$15="Year 10-11 Boys")),(IF(AND($P$18&lt;&gt;"",COUNTIF($C$32:$C55,$P$18)&gt;=2),1,0)+IF(AND($P$19&lt;&gt;"",COUNTIF($C$32:$C55,$P$19)&gt;=2),1,0)+IF(AND($P$20&lt;&gt;"",COUNTIF($C$32:$C55,$P$20)&gt;=2),1,0)+IF(AND($P$21&lt;&gt;"",COUNTIF($C$32:$C55,$P$21)&gt;=2),1,0)+IF(AND($P$22&lt;&gt;"",COUNTIF($C$32:$C55,$P$22)&gt;=2),1,0)+IF(AND($P$23&lt;&gt;"",COUNTIF($C$32:$C55,$P$23)&gt;=2),1,0)+IF(AND($P$24&lt;&gt;"",COUNTIF($C$32:$C55,$P$24)&gt;=2),1,0)+IF(AND($P$25&lt;&gt;"",COUNTIF($C$32:$C55,$P$25)&gt;=2),1,0)+IF(AND($P$26&lt;&gt;"",COUNTIF($C$32:$C55,$P$26)&gt;=2),1,0)+IF(AND($P$27&lt;&gt;"",COUNTIF($C$32:$C55,$P$27)&gt;=2),1,0)+IF(AND($P$28&lt;&gt;"",COUNTIF($C$32:$C55,$P$28)&gt;=2),1,0)+IF(AND($P$29&lt;&gt;"",COUNTIF($C$32:$C55,$P$29)&gt;=2),1,0)+IF(AND($P$30&lt;&gt;"",COUNTIF($C$32:$C55,$P$30)&gt;=2),1,0))&gt;=7,TRUE))</f>
        <v>1</v>
      </c>
      <c r="V56" s="20" t="str">
        <f t="shared" si="31"/>
        <v/>
      </c>
      <c r="W56" s="20" t="str">
        <f t="shared" si="31"/>
        <v/>
      </c>
      <c r="X56" s="20" t="str">
        <f t="shared" si="31"/>
        <v/>
      </c>
      <c r="Y56" s="20" t="str">
        <f t="shared" si="31"/>
        <v/>
      </c>
      <c r="Z56" s="20" t="str">
        <f t="shared" si="31"/>
        <v/>
      </c>
      <c r="AA56" s="20" t="str">
        <f t="shared" si="31"/>
        <v/>
      </c>
      <c r="AB56" s="20" t="str">
        <f t="shared" si="31"/>
        <v/>
      </c>
      <c r="AC56" s="20" t="str">
        <f t="shared" si="31"/>
        <v/>
      </c>
      <c r="AD56" s="20" t="str">
        <f t="shared" si="31"/>
        <v/>
      </c>
      <c r="AE56" s="20" t="str">
        <f t="shared" si="31"/>
        <v/>
      </c>
      <c r="AF56" s="20" t="str">
        <f t="shared" si="31"/>
        <v/>
      </c>
      <c r="AG56" s="20" t="str">
        <f t="shared" si="31"/>
        <v/>
      </c>
      <c r="AH56" s="20" t="str">
        <f t="shared" si="31"/>
        <v/>
      </c>
      <c r="AI56" s="20" t="str">
        <f t="shared" si="17"/>
        <v/>
      </c>
      <c r="AJ56" s="20" t="str">
        <f t="shared" si="18"/>
        <v/>
      </c>
      <c r="AK56" s="20" t="str">
        <f t="shared" si="19"/>
        <v/>
      </c>
      <c r="AL56" s="20" t="str">
        <f t="shared" si="20"/>
        <v/>
      </c>
      <c r="AM56" s="20" t="str">
        <f t="shared" si="21"/>
        <v/>
      </c>
      <c r="AN56" s="20" t="str">
        <f t="shared" si="22"/>
        <v/>
      </c>
      <c r="AO56" s="20" t="str">
        <f t="shared" si="23"/>
        <v/>
      </c>
      <c r="AP56" s="20" t="str">
        <f t="shared" si="24"/>
        <v/>
      </c>
      <c r="AQ56" s="20" t="str">
        <f t="shared" si="25"/>
        <v/>
      </c>
      <c r="AR56" s="20" t="str">
        <f t="shared" si="26"/>
        <v/>
      </c>
      <c r="AS56" s="20" t="str">
        <f t="shared" si="27"/>
        <v/>
      </c>
      <c r="AT56" s="20" t="str">
        <f t="shared" si="28"/>
        <v/>
      </c>
      <c r="AU56" s="20" t="str">
        <f t="shared" si="29"/>
        <v/>
      </c>
      <c r="AV56" s="20" t="b">
        <f>IF(AI56="",FALSE,AND(AI56&lt;&gt;$B56,AI56&lt;&gt;$C55,IFERROR(INDEX($E$18:$E$30,MATCH(AI56,$B$18:$B$30,0)),"No")="Yes",IF(AND(OR($B$3="Stage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Girls"))),$B$5&gt;20),MIN(3,MAX(2,Setup!$B$14)),2))*2),AI56=$E$5,IF(AND(OR($B$3="Stage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Girls"))),$B$5&gt;20),MIN(3,MAX(2,Setup!$B$14)),2))*2-1))),AI56=$E$4,TRUE)),COUNTIF($C$32:$C55,AI56)&lt;$B$6,IF($BI56,COUNTIF($C$32:$C55,AI56)&lt;IF($B$3="Stage 1",MIN($B$6,MAX(1,INT($B$5/$B$11))),IF(AND($B$3="Stage 3",$B$5=20,$B$11&gt;11),1,IF(AND($B$3="Stage 3",OR($B$15="Year 10-11-12 Girls"),$B$5&gt;20),MAX(2,Setup!$B$14),Setup!$B$14))),IF(AND($B$3&lt;&gt;"Stage 2",$B$3&lt;&gt;"Stage 3"),TRUE,IF($U56,TRUE,COUNTIF($C$32:$C55,AI56)&lt;IF(AND($B$3="Stage 2",$B$5=20,AI56=$E$5,$A56&lt;=IF($B$8="One Keeper",$B$5,$B$8)),2,IF(AND(OR($B$3="Stage 2",AND($B$3="Stage 3",OR($B$15="Year 10-11-12 Girls"))),AI56=$E$5,$A56&lt;=IF($B$8="One Keeper",$B$5,$B$8)),3,$B$9)))))))</f>
        <v>0</v>
      </c>
      <c r="AW56" s="20" t="b">
        <f>IF(AJ56="",FALSE,AND(AJ56&lt;&gt;$B56,AJ56&lt;&gt;$C55,IFERROR(INDEX($E$18:$E$30,MATCH(AJ56,$B$18:$B$30,0)),"No")="Yes",IF(AND(OR($B$3="Stage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Girls"))),$B$5&gt;20),MIN(3,MAX(2,Setup!$B$14)),2))*2),AJ56=$E$5,IF(AND(OR($B$3="Stage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Girls"))),$B$5&gt;20),MIN(3,MAX(2,Setup!$B$14)),2))*2-1))),AJ56=$E$4,TRUE)),COUNTIF($C$32:$C55,AJ56)&lt;$B$6,IF($BI56,COUNTIF($C$32:$C55,AJ56)&lt;IF($B$3="Stage 1",MIN($B$6,MAX(1,INT($B$5/$B$11))),IF(AND($B$3="Stage 3",$B$5=20,$B$11&gt;11),1,IF(AND($B$3="Stage 3",OR($B$15="Year 10-11-12 Girls"),$B$5&gt;20),MAX(2,Setup!$B$14),Setup!$B$14))),IF(AND($B$3&lt;&gt;"Stage 2",$B$3&lt;&gt;"Stage 3"),TRUE,IF($U56,TRUE,COUNTIF($C$32:$C55,AJ56)&lt;IF(AND($B$3="Stage 2",$B$5=20,AJ56=$E$5,$A56&lt;=IF($B$8="One Keeper",$B$5,$B$8)),2,IF(AND(OR($B$3="Stage 2",AND($B$3="Stage 3",OR($B$15="Year 10-11-12 Girls"))),AJ56=$E$5,$A56&lt;=IF($B$8="One Keeper",$B$5,$B$8)),3,$B$9)))))))</f>
        <v>0</v>
      </c>
      <c r="AX56" s="20" t="b">
        <f>IF(AK56="",FALSE,AND(AK56&lt;&gt;$B56,AK56&lt;&gt;$C55,IFERROR(INDEX($E$18:$E$30,MATCH(AK56,$B$18:$B$30,0)),"No")="Yes",IF(AND(OR($B$3="Stage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Girls"))),$B$5&gt;20),MIN(3,MAX(2,Setup!$B$14)),2))*2),AK56=$E$5,IF(AND(OR($B$3="Stage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Girls"))),$B$5&gt;20),MIN(3,MAX(2,Setup!$B$14)),2))*2-1))),AK56=$E$4,TRUE)),COUNTIF($C$32:$C55,AK56)&lt;$B$6,IF($BI56,COUNTIF($C$32:$C55,AK56)&lt;IF($B$3="Stage 1",MIN($B$6,MAX(1,INT($B$5/$B$11))),IF(AND($B$3="Stage 3",$B$5=20,$B$11&gt;11),1,IF(AND($B$3="Stage 3",OR($B$15="Year 10-11-12 Girls"),$B$5&gt;20),MAX(2,Setup!$B$14),Setup!$B$14))),IF(AND($B$3&lt;&gt;"Stage 2",$B$3&lt;&gt;"Stage 3"),TRUE,IF($U56,TRUE,COUNTIF($C$32:$C55,AK56)&lt;IF(AND($B$3="Stage 2",$B$5=20,AK56=$E$5,$A56&lt;=IF($B$8="One Keeper",$B$5,$B$8)),2,IF(AND(OR($B$3="Stage 2",AND($B$3="Stage 3",OR($B$15="Year 10-11-12 Girls"))),AK56=$E$5,$A56&lt;=IF($B$8="One Keeper",$B$5,$B$8)),3,$B$9)))))))</f>
        <v>0</v>
      </c>
      <c r="AY56" s="20" t="b">
        <f>IF(AL56="",FALSE,AND(AL56&lt;&gt;$B56,AL56&lt;&gt;$C55,IFERROR(INDEX($E$18:$E$30,MATCH(AL56,$B$18:$B$30,0)),"No")="Yes",IF(AND(OR($B$3="Stage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Girls"))),$B$5&gt;20),MIN(3,MAX(2,Setup!$B$14)),2))*2),AL56=$E$5,IF(AND(OR($B$3="Stage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Girls"))),$B$5&gt;20),MIN(3,MAX(2,Setup!$B$14)),2))*2-1))),AL56=$E$4,TRUE)),COUNTIF($C$32:$C55,AL56)&lt;$B$6,IF($BI56,COUNTIF($C$32:$C55,AL56)&lt;IF($B$3="Stage 1",MIN($B$6,MAX(1,INT($B$5/$B$11))),IF(AND($B$3="Stage 3",$B$5=20,$B$11&gt;11),1,IF(AND($B$3="Stage 3",OR($B$15="Year 10-11-12 Girls"),$B$5&gt;20),MAX(2,Setup!$B$14),Setup!$B$14))),IF(AND($B$3&lt;&gt;"Stage 2",$B$3&lt;&gt;"Stage 3"),TRUE,IF($U56,TRUE,COUNTIF($C$32:$C55,AL56)&lt;IF(AND($B$3="Stage 2",$B$5=20,AL56=$E$5,$A56&lt;=IF($B$8="One Keeper",$B$5,$B$8)),2,IF(AND(OR($B$3="Stage 2",AND($B$3="Stage 3",OR($B$15="Year 10-11-12 Girls"))),AL56=$E$5,$A56&lt;=IF($B$8="One Keeper",$B$5,$B$8)),3,$B$9)))))))</f>
        <v>0</v>
      </c>
      <c r="AZ56" s="20" t="b">
        <f>IF(AM56="",FALSE,AND(AM56&lt;&gt;$B56,AM56&lt;&gt;$C55,IFERROR(INDEX($E$18:$E$30,MATCH(AM56,$B$18:$B$30,0)),"No")="Yes",IF(AND(OR($B$3="Stage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Girls"))),$B$5&gt;20),MIN(3,MAX(2,Setup!$B$14)),2))*2),AM56=$E$5,IF(AND(OR($B$3="Stage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Girls"))),$B$5&gt;20),MIN(3,MAX(2,Setup!$B$14)),2))*2-1))),AM56=$E$4,TRUE)),COUNTIF($C$32:$C55,AM56)&lt;$B$6,IF($BI56,COUNTIF($C$32:$C55,AM56)&lt;IF($B$3="Stage 1",MIN($B$6,MAX(1,INT($B$5/$B$11))),IF(AND($B$3="Stage 3",$B$5=20,$B$11&gt;11),1,IF(AND($B$3="Stage 3",OR($B$15="Year 10-11-12 Girls"),$B$5&gt;20),MAX(2,Setup!$B$14),Setup!$B$14))),IF(AND($B$3&lt;&gt;"Stage 2",$B$3&lt;&gt;"Stage 3"),TRUE,IF($U56,TRUE,COUNTIF($C$32:$C55,AM56)&lt;IF(AND($B$3="Stage 2",$B$5=20,AM56=$E$5,$A56&lt;=IF($B$8="One Keeper",$B$5,$B$8)),2,IF(AND(OR($B$3="Stage 2",AND($B$3="Stage 3",OR($B$15="Year 10-11-12 Girls"))),AM56=$E$5,$A56&lt;=IF($B$8="One Keeper",$B$5,$B$8)),3,$B$9)))))))</f>
        <v>0</v>
      </c>
      <c r="BA56" s="20" t="b">
        <f>IF(AN56="",FALSE,AND(AN56&lt;&gt;$B56,AN56&lt;&gt;$C55,IFERROR(INDEX($E$18:$E$30,MATCH(AN56,$B$18:$B$30,0)),"No")="Yes",IF(AND(OR($B$3="Stage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Girls"))),$B$5&gt;20),MIN(3,MAX(2,Setup!$B$14)),2))*2),AN56=$E$5,IF(AND(OR($B$3="Stage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Girls"))),$B$5&gt;20),MIN(3,MAX(2,Setup!$B$14)),2))*2-1))),AN56=$E$4,TRUE)),COUNTIF($C$32:$C55,AN56)&lt;$B$6,IF($BI56,COUNTIF($C$32:$C55,AN56)&lt;IF($B$3="Stage 1",MIN($B$6,MAX(1,INT($B$5/$B$11))),IF(AND($B$3="Stage 3",$B$5=20,$B$11&gt;11),1,IF(AND($B$3="Stage 3",OR($B$15="Year 10-11-12 Girls"),$B$5&gt;20),MAX(2,Setup!$B$14),Setup!$B$14))),IF(AND($B$3&lt;&gt;"Stage 2",$B$3&lt;&gt;"Stage 3"),TRUE,IF($U56,TRUE,COUNTIF($C$32:$C55,AN56)&lt;IF(AND($B$3="Stage 2",$B$5=20,AN56=$E$5,$A56&lt;=IF($B$8="One Keeper",$B$5,$B$8)),2,IF(AND(OR($B$3="Stage 2",AND($B$3="Stage 3",OR($B$15="Year 10-11-12 Girls"))),AN56=$E$5,$A56&lt;=IF($B$8="One Keeper",$B$5,$B$8)),3,$B$9)))))))</f>
        <v>0</v>
      </c>
      <c r="BB56" s="20" t="b">
        <f>IF(AO56="",FALSE,AND(AO56&lt;&gt;$B56,AO56&lt;&gt;$C55,IFERROR(INDEX($E$18:$E$30,MATCH(AO56,$B$18:$B$30,0)),"No")="Yes",IF(AND(OR($B$3="Stage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Girls"))),$B$5&gt;20),MIN(3,MAX(2,Setup!$B$14)),2))*2),AO56=$E$5,IF(AND(OR($B$3="Stage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Girls"))),$B$5&gt;20),MIN(3,MAX(2,Setup!$B$14)),2))*2-1))),AO56=$E$4,TRUE)),COUNTIF($C$32:$C55,AO56)&lt;$B$6,IF($BI56,COUNTIF($C$32:$C55,AO56)&lt;IF($B$3="Stage 1",MIN($B$6,MAX(1,INT($B$5/$B$11))),IF(AND($B$3="Stage 3",$B$5=20,$B$11&gt;11),1,IF(AND($B$3="Stage 3",OR($B$15="Year 10-11-12 Girls"),$B$5&gt;20),MAX(2,Setup!$B$14),Setup!$B$14))),IF(AND($B$3&lt;&gt;"Stage 2",$B$3&lt;&gt;"Stage 3"),TRUE,IF($U56,TRUE,COUNTIF($C$32:$C55,AO56)&lt;IF(AND($B$3="Stage 2",$B$5=20,AO56=$E$5,$A56&lt;=IF($B$8="One Keeper",$B$5,$B$8)),2,IF(AND(OR($B$3="Stage 2",AND($B$3="Stage 3",OR($B$15="Year 10-11-12 Girls"))),AO56=$E$5,$A56&lt;=IF($B$8="One Keeper",$B$5,$B$8)),3,$B$9)))))))</f>
        <v>0</v>
      </c>
      <c r="BC56" s="20" t="b">
        <f>IF(AP56="",FALSE,AND(AP56&lt;&gt;$B56,AP56&lt;&gt;$C55,IFERROR(INDEX($E$18:$E$30,MATCH(AP56,$B$18:$B$30,0)),"No")="Yes",IF(AND(OR($B$3="Stage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Girls"))),$B$5&gt;20),MIN(3,MAX(2,Setup!$B$14)),2))*2),AP56=$E$5,IF(AND(OR($B$3="Stage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Girls"))),$B$5&gt;20),MIN(3,MAX(2,Setup!$B$14)),2))*2-1))),AP56=$E$4,TRUE)),COUNTIF($C$32:$C55,AP56)&lt;$B$6,IF($BI56,COUNTIF($C$32:$C55,AP56)&lt;IF($B$3="Stage 1",MIN($B$6,MAX(1,INT($B$5/$B$11))),IF(AND($B$3="Stage 3",$B$5=20,$B$11&gt;11),1,IF(AND($B$3="Stage 3",OR($B$15="Year 10-11-12 Girls"),$B$5&gt;20),MAX(2,Setup!$B$14),Setup!$B$14))),IF(AND($B$3&lt;&gt;"Stage 2",$B$3&lt;&gt;"Stage 3"),TRUE,IF($U56,TRUE,COUNTIF($C$32:$C55,AP56)&lt;IF(AND($B$3="Stage 2",$B$5=20,AP56=$E$5,$A56&lt;=IF($B$8="One Keeper",$B$5,$B$8)),2,IF(AND(OR($B$3="Stage 2",AND($B$3="Stage 3",OR($B$15="Year 10-11-12 Girls"))),AP56=$E$5,$A56&lt;=IF($B$8="One Keeper",$B$5,$B$8)),3,$B$9)))))))</f>
        <v>0</v>
      </c>
      <c r="BD56" s="20" t="b">
        <f>IF(AQ56="",FALSE,AND(AQ56&lt;&gt;$B56,AQ56&lt;&gt;$C55,IFERROR(INDEX($E$18:$E$30,MATCH(AQ56,$B$18:$B$30,0)),"No")="Yes",IF(AND(OR($B$3="Stage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Girls"))),$B$5&gt;20),MIN(3,MAX(2,Setup!$B$14)),2))*2),AQ56=$E$5,IF(AND(OR($B$3="Stage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Girls"))),$B$5&gt;20),MIN(3,MAX(2,Setup!$B$14)),2))*2-1))),AQ56=$E$4,TRUE)),COUNTIF($C$32:$C55,AQ56)&lt;$B$6,IF($BI56,COUNTIF($C$32:$C55,AQ56)&lt;IF($B$3="Stage 1",MIN($B$6,MAX(1,INT($B$5/$B$11))),IF(AND($B$3="Stage 3",$B$5=20,$B$11&gt;11),1,IF(AND($B$3="Stage 3",OR($B$15="Year 10-11-12 Girls"),$B$5&gt;20),MAX(2,Setup!$B$14),Setup!$B$14))),IF(AND($B$3&lt;&gt;"Stage 2",$B$3&lt;&gt;"Stage 3"),TRUE,IF($U56,TRUE,COUNTIF($C$32:$C55,AQ56)&lt;IF(AND($B$3="Stage 2",$B$5=20,AQ56=$E$5,$A56&lt;=IF($B$8="One Keeper",$B$5,$B$8)),2,IF(AND(OR($B$3="Stage 2",AND($B$3="Stage 3",OR($B$15="Year 10-11-12 Girls"))),AQ56=$E$5,$A56&lt;=IF($B$8="One Keeper",$B$5,$B$8)),3,$B$9)))))))</f>
        <v>0</v>
      </c>
      <c r="BE56" s="20" t="b">
        <f>IF(AR56="",FALSE,AND(AR56&lt;&gt;$B56,AR56&lt;&gt;$C55,IFERROR(INDEX($E$18:$E$30,MATCH(AR56,$B$18:$B$30,0)),"No")="Yes",IF(AND(OR($B$3="Stage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Girls"))),$B$5&gt;20),MIN(3,MAX(2,Setup!$B$14)),2))*2),AR56=$E$5,IF(AND(OR($B$3="Stage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Girls"))),$B$5&gt;20),MIN(3,MAX(2,Setup!$B$14)),2))*2-1))),AR56=$E$4,TRUE)),COUNTIF($C$32:$C55,AR56)&lt;$B$6,IF($BI56,COUNTIF($C$32:$C55,AR56)&lt;IF($B$3="Stage 1",MIN($B$6,MAX(1,INT($B$5/$B$11))),IF(AND($B$3="Stage 3",$B$5=20,$B$11&gt;11),1,IF(AND($B$3="Stage 3",OR($B$15="Year 10-11-12 Girls"),$B$5&gt;20),MAX(2,Setup!$B$14),Setup!$B$14))),IF(AND($B$3&lt;&gt;"Stage 2",$B$3&lt;&gt;"Stage 3"),TRUE,IF($U56,TRUE,COUNTIF($C$32:$C55,AR56)&lt;IF(AND($B$3="Stage 2",$B$5=20,AR56=$E$5,$A56&lt;=IF($B$8="One Keeper",$B$5,$B$8)),2,IF(AND(OR($B$3="Stage 2",AND($B$3="Stage 3",OR($B$15="Year 10-11-12 Girls"))),AR56=$E$5,$A56&lt;=IF($B$8="One Keeper",$B$5,$B$8)),3,$B$9)))))))</f>
        <v>0</v>
      </c>
      <c r="BF56" s="20" t="b">
        <f>IF(AS56="",FALSE,AND(AS56&lt;&gt;$B56,AS56&lt;&gt;$C55,IFERROR(INDEX($E$18:$E$30,MATCH(AS56,$B$18:$B$30,0)),"No")="Yes",IF(AND(OR($B$3="Stage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Girls"))),$B$5&gt;20),MIN(3,MAX(2,Setup!$B$14)),2))*2),AS56=$E$5,IF(AND(OR($B$3="Stage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Girls"))),$B$5&gt;20),MIN(3,MAX(2,Setup!$B$14)),2))*2-1))),AS56=$E$4,TRUE)),COUNTIF($C$32:$C55,AS56)&lt;$B$6,IF($BI56,COUNTIF($C$32:$C55,AS56)&lt;IF($B$3="Stage 1",MIN($B$6,MAX(1,INT($B$5/$B$11))),IF(AND($B$3="Stage 3",$B$5=20,$B$11&gt;11),1,IF(AND($B$3="Stage 3",OR($B$15="Year 10-11-12 Girls"),$B$5&gt;20),MAX(2,Setup!$B$14),Setup!$B$14))),IF(AND($B$3&lt;&gt;"Stage 2",$B$3&lt;&gt;"Stage 3"),TRUE,IF($U56,TRUE,COUNTIF($C$32:$C55,AS56)&lt;IF(AND($B$3="Stage 2",$B$5=20,AS56=$E$5,$A56&lt;=IF($B$8="One Keeper",$B$5,$B$8)),2,IF(AND(OR($B$3="Stage 2",AND($B$3="Stage 3",OR($B$15="Year 10-11-12 Girls"))),AS56=$E$5,$A56&lt;=IF($B$8="One Keeper",$B$5,$B$8)),3,$B$9)))))))</f>
        <v>0</v>
      </c>
      <c r="BG56" s="20" t="b">
        <f>IF(AT56="",FALSE,AND(AT56&lt;&gt;$B56,AT56&lt;&gt;$C55,IFERROR(INDEX($E$18:$E$30,MATCH(AT56,$B$18:$B$30,0)),"No")="Yes",IF(AND(OR($B$3="Stage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Girls"))),$B$5&gt;20),MIN(3,MAX(2,Setup!$B$14)),2))*2),AT56=$E$5,IF(AND(OR($B$3="Stage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Girls"))),$B$5&gt;20),MIN(3,MAX(2,Setup!$B$14)),2))*2-1))),AT56=$E$4,TRUE)),COUNTIF($C$32:$C55,AT56)&lt;$B$6,IF($BI56,COUNTIF($C$32:$C55,AT56)&lt;IF($B$3="Stage 1",MIN($B$6,MAX(1,INT($B$5/$B$11))),IF(AND($B$3="Stage 3",$B$5=20,$B$11&gt;11),1,IF(AND($B$3="Stage 3",OR($B$15="Year 10-11-12 Girls"),$B$5&gt;20),MAX(2,Setup!$B$14),Setup!$B$14))),IF(AND($B$3&lt;&gt;"Stage 2",$B$3&lt;&gt;"Stage 3"),TRUE,IF($U56,TRUE,COUNTIF($C$32:$C55,AT56)&lt;IF(AND($B$3="Stage 2",$B$5=20,AT56=$E$5,$A56&lt;=IF($B$8="One Keeper",$B$5,$B$8)),2,IF(AND(OR($B$3="Stage 2",AND($B$3="Stage 3",OR($B$15="Year 10-11-12 Girls"))),AT56=$E$5,$A56&lt;=IF($B$8="One Keeper",$B$5,$B$8)),3,$B$9)))))))</f>
        <v>0</v>
      </c>
      <c r="BH56" s="20" t="b">
        <f>IF(AU56="",FALSE,AND(AU56&lt;&gt;$B56,AU56&lt;&gt;$C55,IFERROR(INDEX($E$18:$E$30,MATCH(AU56,$B$18:$B$30,0)),"No")="Yes",IF(AND(OR($B$3="Stage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Girls"))),$B$5&gt;20),MIN(3,MAX(2,Setup!$B$14)),2))*2),AU56=$E$5,IF(AND(OR($B$3="Stage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Girls"))),$B$5&gt;20),MIN(3,MAX(2,Setup!$B$14)),2))*2-1))),AU56=$E$4,TRUE)),COUNTIF($C$32:$C55,AU56)&lt;$B$6,IF($BI56,COUNTIF($C$32:$C55,AU56)&lt;IF($B$3="Stage 1",MIN($B$6,MAX(1,INT($B$5/$B$11))),IF(AND($B$3="Stage 3",$B$5=20,$B$11&gt;11),1,IF(AND($B$3="Stage 3",OR($B$15="Year 10-11-12 Girls"),$B$5&gt;20),MAX(2,Setup!$B$14),Setup!$B$14))),IF(AND($B$3&lt;&gt;"Stage 2",$B$3&lt;&gt;"Stage 3"),TRUE,IF($U56,TRUE,COUNTIF($C$32:$C55,AU56)&lt;IF(AND($B$3="Stage 2",$B$5=20,AU56=$E$5,$A56&lt;=IF($B$8="One Keeper",$B$5,$B$8)),2,IF(AND(OR($B$3="Stage 2",AND($B$3="Stage 3",OR($B$15="Year 10-11-12 Girls"))),AU56=$E$5,$A56&lt;=IF($B$8="One Keeper",$B$5,$B$8)),3,$B$9)))))))</f>
        <v>0</v>
      </c>
      <c r="BI56"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Keeper",$E$4&lt;&gt;$E$5,$A56&lt;=IF($B$8="One Keeper",$B$5,$B$8),COUNTIF($C$32:$C55,$E$5)&lt;IF(AND($B$3="Stage 3",$B$5=20,$B$11&gt;11),1,IF(AND(OR($B$3="Stage 2",AND($B$3="Stage 3",OR($B$15="Year 10-11-12 Girls"))),$B$5&gt;20),MIN(3,MAX(2,Setup!$B$14)),2)),IFERROR(INDEX($E$18:$E$30,MATCH($E$5,$B$18:$B$30,0)),"No")="Yes",$C55&lt;&gt;$E$5,MOD($A56,2)=0,$A56&lt;=IF(AND($B$3="Stage 3",$B$5=20,$B$11&gt;11),1,IF(AND(OR($B$3="Stage 2",AND($B$3="Stage 3",OR($B$15="Year 10-11-12 Girls"))),$B$5&gt;20),MIN(3,MAX(2,Setup!$B$14)),2))*2),AND(OR($B$3="Stage 1",$B$3="Stage 2",AND($B$3="Stage 3",OR(OR($B$15="Year 10-11-12 Girls"),OR($B$15="Year 8 Boys",$B$15="Year 9 Boys",$B$15="Year 10-11 Boys")))),$B$8&lt;&gt;"One Keeper",$E$4&lt;&gt;$E$5,$A56&gt;IF($B$8="One Keeper",$B$5,$B$8),COUNTIF($C$32:$C55,$E$4)&lt;IF(AND($B$3="Stage 3",$B$5=20,$B$11&gt;11),1,IF(AND(OR($B$3="Stage 2",AND($B$3="Stage 3",OR($B$15="Year 10-11-12 Girls"))),$B$5&gt;20),MIN(3,MAX(2,Setup!$B$14)),2)),IFERROR(INDEX($E$18:$E$30,MATCH($E$4,$B$18:$B$30,0)),"No")="Yes",$C55&lt;&gt;$E$4,IF($B$7="Three-over spell",AND(MOD($A56-IF($B$8="One Keeper",$B$5,$B$8)-1,3)=0,($A56-IF($B$8="One Keeper",$B$5,$B$8))&lt;=1+(IF(AND($B$3="Stage 3",$B$5=20,$B$11&gt;11),1,IF(AND(OR($B$3="Stage 2",AND($B$3="Stage 3",OR($B$15="Year 10-11-12 Girls"))),$B$5&gt;20),MIN(3,MAX(2,Setup!$B$14)),2))-1)*3),AND(MOD($A56-IF($B$8="One Keeper",$B$5,$B$8),2)=1,($A56-IF($B$8="One Keeper",$B$5,$B$8))&lt;=IF(AND($B$3="Stage 3",$B$5=20,$B$11&gt;11),1,IF(AND(OR($B$3="Stage 2",AND($B$3="Stage 3",OR($B$15="Year 10-11-12 Girls"))),$B$5&gt;20),MIN(3,MAX(2,Setup!$B$14)),2))*2-1))))),OR($U56,AND($B$3="Stage 3",$B$5=20,$B$11&gt;11)),OR($BJ56,$BK56,$BL56,$BM56,$BN56,$BO56,$BP56,$BQ56,$BR56,$BS56,$BT56,$BU56,$BV56))</f>
        <v>0</v>
      </c>
      <c r="BJ56" s="20" t="b">
        <f>IF(AI56="",FALSE,AND(AI56&lt;&gt;IF(AND($B$3="Stage 3",OR($B$15="Year 8 Boys",$B$15="Year 9 Boys",$B$15="Year 10-11 Boys"),$B$8="One Keeper"),$E$4,""),AI56&lt;&gt;$B56,AI56&lt;&gt;$C55,IFERROR(INDEX($E$18:$E$30,MATCH(AI56,$B$18:$B$30,0)),"No")="Yes",COUNTIF($C$32:$C55,AI56)&lt;$B$6,COUNTIF($C$32:$C55,AI56)&lt;IF($B$3="Stage 1",MIN($B$6,MAX(1,INT($B$5/$B$11))),IF(AND($B$3="Stage 3",$B$5=20,$B$11&gt;11),1,IF(AND($B$3="Stage 3",OR($B$15="Year 10-11-12 Girls"),$B$5&gt;20),MAX(2,Setup!$B$14),Setup!$B$14)))))</f>
        <v>0</v>
      </c>
      <c r="BK56" s="20" t="b">
        <f>IF(AJ56="",FALSE,AND(AJ56&lt;&gt;IF(AND($B$3="Stage 3",OR($B$15="Year 8 Boys",$B$15="Year 9 Boys",$B$15="Year 10-11 Boys"),$B$8="One Keeper"),$E$4,""),AJ56&lt;&gt;$B56,AJ56&lt;&gt;$C55,IFERROR(INDEX($E$18:$E$30,MATCH(AJ56,$B$18:$B$30,0)),"No")="Yes",COUNTIF($C$32:$C55,AJ56)&lt;$B$6,COUNTIF($C$32:$C55,AJ56)&lt;IF($B$3="Stage 1",MIN($B$6,MAX(1,INT($B$5/$B$11))),IF(AND($B$3="Stage 3",$B$5=20,$B$11&gt;11),1,IF(AND($B$3="Stage 3",OR($B$15="Year 10-11-12 Girls"),$B$5&gt;20),MAX(2,Setup!$B$14),Setup!$B$14)))))</f>
        <v>0</v>
      </c>
      <c r="BL56" s="20" t="b">
        <f>IF(AK56="",FALSE,AND(AK56&lt;&gt;IF(AND($B$3="Stage 3",OR($B$15="Year 8 Boys",$B$15="Year 9 Boys",$B$15="Year 10-11 Boys"),$B$8="One Keeper"),$E$4,""),AK56&lt;&gt;$B56,AK56&lt;&gt;$C55,IFERROR(INDEX($E$18:$E$30,MATCH(AK56,$B$18:$B$30,0)),"No")="Yes",COUNTIF($C$32:$C55,AK56)&lt;$B$6,COUNTIF($C$32:$C55,AK56)&lt;IF($B$3="Stage 1",MIN($B$6,MAX(1,INT($B$5/$B$11))),IF(AND($B$3="Stage 3",$B$5=20,$B$11&gt;11),1,IF(AND($B$3="Stage 3",OR($B$15="Year 10-11-12 Girls"),$B$5&gt;20),MAX(2,Setup!$B$14),Setup!$B$14)))))</f>
        <v>0</v>
      </c>
      <c r="BM56" s="20" t="b">
        <f>IF(AL56="",FALSE,AND(AL56&lt;&gt;IF(AND($B$3="Stage 3",OR($B$15="Year 8 Boys",$B$15="Year 9 Boys",$B$15="Year 10-11 Boys"),$B$8="One Keeper"),$E$4,""),AL56&lt;&gt;$B56,AL56&lt;&gt;$C55,IFERROR(INDEX($E$18:$E$30,MATCH(AL56,$B$18:$B$30,0)),"No")="Yes",COUNTIF($C$32:$C55,AL56)&lt;$B$6,COUNTIF($C$32:$C55,AL56)&lt;IF($B$3="Stage 1",MIN($B$6,MAX(1,INT($B$5/$B$11))),IF(AND($B$3="Stage 3",$B$5=20,$B$11&gt;11),1,IF(AND($B$3="Stage 3",OR($B$15="Year 10-11-12 Girls"),$B$5&gt;20),MAX(2,Setup!$B$14),Setup!$B$14)))))</f>
        <v>0</v>
      </c>
      <c r="BN56" s="20" t="b">
        <f>IF(AM56="",FALSE,AND(AM56&lt;&gt;IF(AND($B$3="Stage 3",OR($B$15="Year 8 Boys",$B$15="Year 9 Boys",$B$15="Year 10-11 Boys"),$B$8="One Keeper"),$E$4,""),AM56&lt;&gt;$B56,AM56&lt;&gt;$C55,IFERROR(INDEX($E$18:$E$30,MATCH(AM56,$B$18:$B$30,0)),"No")="Yes",COUNTIF($C$32:$C55,AM56)&lt;$B$6,COUNTIF($C$32:$C55,AM56)&lt;IF($B$3="Stage 1",MIN($B$6,MAX(1,INT($B$5/$B$11))),IF(AND($B$3="Stage 3",$B$5=20,$B$11&gt;11),1,IF(AND($B$3="Stage 3",OR($B$15="Year 10-11-12 Girls"),$B$5&gt;20),MAX(2,Setup!$B$14),Setup!$B$14)))))</f>
        <v>0</v>
      </c>
      <c r="BO56" s="20" t="b">
        <f>IF(AN56="",FALSE,AND(AN56&lt;&gt;IF(AND($B$3="Stage 3",OR($B$15="Year 8 Boys",$B$15="Year 9 Boys",$B$15="Year 10-11 Boys"),$B$8="One Keeper"),$E$4,""),AN56&lt;&gt;$B56,AN56&lt;&gt;$C55,IFERROR(INDEX($E$18:$E$30,MATCH(AN56,$B$18:$B$30,0)),"No")="Yes",COUNTIF($C$32:$C55,AN56)&lt;$B$6,COUNTIF($C$32:$C55,AN56)&lt;IF($B$3="Stage 1",MIN($B$6,MAX(1,INT($B$5/$B$11))),IF(AND($B$3="Stage 3",$B$5=20,$B$11&gt;11),1,IF(AND($B$3="Stage 3",OR($B$15="Year 10-11-12 Girls"),$B$5&gt;20),MAX(2,Setup!$B$14),Setup!$B$14)))))</f>
        <v>0</v>
      </c>
      <c r="BP56" s="20" t="b">
        <f>IF(AO56="",FALSE,AND(AO56&lt;&gt;IF(AND($B$3="Stage 3",OR($B$15="Year 8 Boys",$B$15="Year 9 Boys",$B$15="Year 10-11 Boys"),$B$8="One Keeper"),$E$4,""),AO56&lt;&gt;$B56,AO56&lt;&gt;$C55,IFERROR(INDEX($E$18:$E$30,MATCH(AO56,$B$18:$B$30,0)),"No")="Yes",COUNTIF($C$32:$C55,AO56)&lt;$B$6,COUNTIF($C$32:$C55,AO56)&lt;IF($B$3="Stage 1",MIN($B$6,MAX(1,INT($B$5/$B$11))),IF(AND($B$3="Stage 3",$B$5=20,$B$11&gt;11),1,IF(AND($B$3="Stage 3",OR($B$15="Year 10-11-12 Girls"),$B$5&gt;20),MAX(2,Setup!$B$14),Setup!$B$14)))))</f>
        <v>0</v>
      </c>
      <c r="BQ56" s="20" t="b">
        <f>IF(AP56="",FALSE,AND(AP56&lt;&gt;IF(AND($B$3="Stage 3",OR($B$15="Year 8 Boys",$B$15="Year 9 Boys",$B$15="Year 10-11 Boys"),$B$8="One Keeper"),$E$4,""),AP56&lt;&gt;$B56,AP56&lt;&gt;$C55,IFERROR(INDEX($E$18:$E$30,MATCH(AP56,$B$18:$B$30,0)),"No")="Yes",COUNTIF($C$32:$C55,AP56)&lt;$B$6,COUNTIF($C$32:$C55,AP56)&lt;IF($B$3="Stage 1",MIN($B$6,MAX(1,INT($B$5/$B$11))),IF(AND($B$3="Stage 3",$B$5=20,$B$11&gt;11),1,IF(AND($B$3="Stage 3",OR($B$15="Year 10-11-12 Girls"),$B$5&gt;20),MAX(2,Setup!$B$14),Setup!$B$14)))))</f>
        <v>0</v>
      </c>
      <c r="BR56" s="20" t="b">
        <f>IF(AQ56="",FALSE,AND(AQ56&lt;&gt;IF(AND($B$3="Stage 3",OR($B$15="Year 8 Boys",$B$15="Year 9 Boys",$B$15="Year 10-11 Boys"),$B$8="One Keeper"),$E$4,""),AQ56&lt;&gt;$B56,AQ56&lt;&gt;$C55,IFERROR(INDEX($E$18:$E$30,MATCH(AQ56,$B$18:$B$30,0)),"No")="Yes",COUNTIF($C$32:$C55,AQ56)&lt;$B$6,COUNTIF($C$32:$C55,AQ56)&lt;IF($B$3="Stage 1",MIN($B$6,MAX(1,INT($B$5/$B$11))),IF(AND($B$3="Stage 3",$B$5=20,$B$11&gt;11),1,IF(AND($B$3="Stage 3",OR($B$15="Year 10-11-12 Girls"),$B$5&gt;20),MAX(2,Setup!$B$14),Setup!$B$14)))))</f>
        <v>0</v>
      </c>
      <c r="BS56" s="20" t="b">
        <f>IF(AR56="",FALSE,AND(AR56&lt;&gt;IF(AND($B$3="Stage 3",OR($B$15="Year 8 Boys",$B$15="Year 9 Boys",$B$15="Year 10-11 Boys"),$B$8="One Keeper"),$E$4,""),AR56&lt;&gt;$B56,AR56&lt;&gt;$C55,IFERROR(INDEX($E$18:$E$30,MATCH(AR56,$B$18:$B$30,0)),"No")="Yes",COUNTIF($C$32:$C55,AR56)&lt;$B$6,COUNTIF($C$32:$C55,AR56)&lt;IF($B$3="Stage 1",MIN($B$6,MAX(1,INT($B$5/$B$11))),IF(AND($B$3="Stage 3",$B$5=20,$B$11&gt;11),1,IF(AND($B$3="Stage 3",OR($B$15="Year 10-11-12 Girls"),$B$5&gt;20),MAX(2,Setup!$B$14),Setup!$B$14)))))</f>
        <v>0</v>
      </c>
      <c r="BT56" s="20" t="b">
        <f>IF(AS56="",FALSE,AND(AS56&lt;&gt;IF(AND($B$3="Stage 3",OR($B$15="Year 8 Boys",$B$15="Year 9 Boys",$B$15="Year 10-11 Boys"),$B$8="One Keeper"),$E$4,""),AS56&lt;&gt;$B56,AS56&lt;&gt;$C55,IFERROR(INDEX($E$18:$E$30,MATCH(AS56,$B$18:$B$30,0)),"No")="Yes",COUNTIF($C$32:$C55,AS56)&lt;$B$6,COUNTIF($C$32:$C55,AS56)&lt;IF($B$3="Stage 1",MIN($B$6,MAX(1,INT($B$5/$B$11))),IF(AND($B$3="Stage 3",$B$5=20,$B$11&gt;11),1,IF(AND($B$3="Stage 3",OR($B$15="Year 10-11-12 Girls"),$B$5&gt;20),MAX(2,Setup!$B$14),Setup!$B$14)))))</f>
        <v>0</v>
      </c>
      <c r="BU56" s="20" t="b">
        <f>IF(AT56="",FALSE,AND(AT56&lt;&gt;IF(AND($B$3="Stage 3",OR($B$15="Year 8 Boys",$B$15="Year 9 Boys",$B$15="Year 10-11 Boys"),$B$8="One Keeper"),$E$4,""),AT56&lt;&gt;$B56,AT56&lt;&gt;$C55,IFERROR(INDEX($E$18:$E$30,MATCH(AT56,$B$18:$B$30,0)),"No")="Yes",COUNTIF($C$32:$C55,AT56)&lt;$B$6,COUNTIF($C$32:$C55,AT56)&lt;IF($B$3="Stage 1",MIN($B$6,MAX(1,INT($B$5/$B$11))),IF(AND($B$3="Stage 3",$B$5=20,$B$11&gt;11),1,IF(AND($B$3="Stage 3",OR($B$15="Year 10-11-12 Girls"),$B$5&gt;20),MAX(2,Setup!$B$14),Setup!$B$14)))))</f>
        <v>0</v>
      </c>
      <c r="BV56" s="20" t="b">
        <f>IF(AU56="",FALSE,AND(AU56&lt;&gt;IF(AND($B$3="Stage 3",OR($B$15="Year 8 Boys",$B$15="Year 9 Boys",$B$15="Year 10-11 Boys"),$B$8="One Keeper"),$E$4,""),AU56&lt;&gt;$B56,AU56&lt;&gt;$C55,IFERROR(INDEX($E$18:$E$30,MATCH(AU56,$B$18:$B$30,0)),"No")="Yes",COUNTIF($C$32:$C55,AU56)&lt;$B$6,COUNTIF($C$32:$C55,AU56)&lt;IF($B$3="Stage 1",MIN($B$6,MAX(1,INT($B$5/$B$11))),IF(AND($B$3="Stage 3",$B$5=20,$B$11&gt;11),1,IF(AND($B$3="Stage 3",OR($B$15="Year 10-11-12 Girls"),$B$5&gt;20),MAX(2,Setup!$B$14),Setup!$B$14)))))</f>
        <v>0</v>
      </c>
      <c r="BW56" s="20"/>
      <c r="BX56" s="20"/>
      <c r="BY56" s="20"/>
      <c r="BZ56" s="20"/>
      <c r="CA56" s="20"/>
      <c r="CB56" s="20"/>
      <c r="CC56" s="20"/>
      <c r="CD56" s="20"/>
      <c r="CE56" s="20"/>
      <c r="CF56" s="20"/>
      <c r="CG56" s="20"/>
      <c r="CH56" s="20"/>
      <c r="CI56" s="20"/>
      <c r="CJ56" s="20"/>
      <c r="CK56" s="20"/>
    </row>
    <row r="57" spans="1:89" ht="15" customHeight="1">
      <c r="A57" s="18">
        <v>26</v>
      </c>
      <c r="B57" s="18" t="str">
        <f t="shared" si="5"/>
        <v/>
      </c>
      <c r="C57" s="18" t="str">
        <f t="shared" si="6"/>
        <v/>
      </c>
      <c r="D57" s="18">
        <f t="shared" si="7"/>
        <v>8</v>
      </c>
      <c r="E57" s="18" t="str">
        <f>IF($C57="","",COUNTIF($C$32:C57,$C57))</f>
        <v/>
      </c>
      <c r="F57" s="18" t="str">
        <f t="shared" si="8"/>
        <v/>
      </c>
      <c r="T57" s="20" t="str">
        <f t="shared" si="15"/>
        <v/>
      </c>
      <c r="U57" s="20" t="b">
        <f>IF(OR($B$3="Stage 2",AND($B$3="Stage 3",OR($B$15="Year 10-11-12 Girls"))),(IF(AND($P$18&lt;&gt;"",$P$18&lt;&gt;$E$4,COUNTIF($C$32:$C56,$P$18)&gt;=2),1,0)+IF(AND($P$19&lt;&gt;"",$P$19&lt;&gt;$E$4,COUNTIF($C$32:$C56,$P$19)&gt;=2),1,0)+IF(AND($P$20&lt;&gt;"",$P$20&lt;&gt;$E$4,COUNTIF($C$32:$C56,$P$20)&gt;=2),1,0)+IF(AND($P$21&lt;&gt;"",$P$21&lt;&gt;$E$4,COUNTIF($C$32:$C56,$P$21)&gt;=2),1,0)+IF(AND($P$22&lt;&gt;"",$P$22&lt;&gt;$E$4,COUNTIF($C$32:$C56,$P$22)&gt;=2),1,0)+IF(AND($P$23&lt;&gt;"",$P$23&lt;&gt;$E$4,COUNTIF($C$32:$C56,$P$23)&gt;=2),1,0)+IF(AND($P$24&lt;&gt;"",$P$24&lt;&gt;$E$4,COUNTIF($C$32:$C56,$P$24)&gt;=2),1,0)+IF(AND($P$25&lt;&gt;"",$P$25&lt;&gt;$E$4,COUNTIF($C$32:$C56,$P$25)&gt;=2),1,0)+IF(AND($P$26&lt;&gt;"",$P$26&lt;&gt;$E$4,COUNTIF($C$32:$C56,$P$26)&gt;=2),1,0)+IF(AND($P$27&lt;&gt;"",$P$27&lt;&gt;$E$4,COUNTIF($C$32:$C56,$P$27)&gt;=2),1,0)+IF(AND($P$28&lt;&gt;"",$P$28&lt;&gt;$E$4,COUNTIF($C$32:$C56,$P$28)&gt;=2),1,0)+IF(AND($P$29&lt;&gt;"",$P$29&lt;&gt;$E$4,COUNTIF($C$32:$C56,$P$29)&gt;=2),1,0)+IF(AND($P$30&lt;&gt;"",$P$30&lt;&gt;$E$4,COUNTIF($C$32:$C56,$P$30)&gt;=2),1,0))&gt;=MAX(0,$B$11-1),IF(AND($B$3="Stage 3",OR($B$15="Year 8 Boys",$B$15="Year 9 Boys",$B$15="Year 10-11 Boys")),(IF(AND($P$18&lt;&gt;"",COUNTIF($C$32:$C56,$P$18)&gt;=2),1,0)+IF(AND($P$19&lt;&gt;"",COUNTIF($C$32:$C56,$P$19)&gt;=2),1,0)+IF(AND($P$20&lt;&gt;"",COUNTIF($C$32:$C56,$P$20)&gt;=2),1,0)+IF(AND($P$21&lt;&gt;"",COUNTIF($C$32:$C56,$P$21)&gt;=2),1,0)+IF(AND($P$22&lt;&gt;"",COUNTIF($C$32:$C56,$P$22)&gt;=2),1,0)+IF(AND($P$23&lt;&gt;"",COUNTIF($C$32:$C56,$P$23)&gt;=2),1,0)+IF(AND($P$24&lt;&gt;"",COUNTIF($C$32:$C56,$P$24)&gt;=2),1,0)+IF(AND($P$25&lt;&gt;"",COUNTIF($C$32:$C56,$P$25)&gt;=2),1,0)+IF(AND($P$26&lt;&gt;"",COUNTIF($C$32:$C56,$P$26)&gt;=2),1,0)+IF(AND($P$27&lt;&gt;"",COUNTIF($C$32:$C56,$P$27)&gt;=2),1,0)+IF(AND($P$28&lt;&gt;"",COUNTIF($C$32:$C56,$P$28)&gt;=2),1,0)+IF(AND($P$29&lt;&gt;"",COUNTIF($C$32:$C56,$P$29)&gt;=2),1,0)+IF(AND($P$30&lt;&gt;"",COUNTIF($C$32:$C56,$P$30)&gt;=2),1,0))&gt;=7,TRUE))</f>
        <v>1</v>
      </c>
      <c r="V57" s="20" t="str">
        <f t="shared" si="31"/>
        <v/>
      </c>
      <c r="W57" s="20" t="str">
        <f t="shared" si="31"/>
        <v/>
      </c>
      <c r="X57" s="20" t="str">
        <f t="shared" si="31"/>
        <v/>
      </c>
      <c r="Y57" s="20" t="str">
        <f t="shared" si="31"/>
        <v/>
      </c>
      <c r="Z57" s="20" t="str">
        <f t="shared" si="31"/>
        <v/>
      </c>
      <c r="AA57" s="20" t="str">
        <f t="shared" si="31"/>
        <v/>
      </c>
      <c r="AB57" s="20" t="str">
        <f t="shared" si="31"/>
        <v/>
      </c>
      <c r="AC57" s="20" t="str">
        <f t="shared" si="31"/>
        <v/>
      </c>
      <c r="AD57" s="20" t="str">
        <f t="shared" si="31"/>
        <v/>
      </c>
      <c r="AE57" s="20" t="str">
        <f t="shared" si="31"/>
        <v/>
      </c>
      <c r="AF57" s="20" t="str">
        <f t="shared" si="31"/>
        <v/>
      </c>
      <c r="AG57" s="20" t="str">
        <f t="shared" si="31"/>
        <v/>
      </c>
      <c r="AH57" s="20" t="str">
        <f t="shared" si="31"/>
        <v/>
      </c>
      <c r="AI57" s="20" t="str">
        <f t="shared" si="17"/>
        <v/>
      </c>
      <c r="AJ57" s="20" t="str">
        <f t="shared" si="18"/>
        <v/>
      </c>
      <c r="AK57" s="20" t="str">
        <f t="shared" si="19"/>
        <v/>
      </c>
      <c r="AL57" s="20" t="str">
        <f t="shared" si="20"/>
        <v/>
      </c>
      <c r="AM57" s="20" t="str">
        <f t="shared" si="21"/>
        <v/>
      </c>
      <c r="AN57" s="20" t="str">
        <f t="shared" si="22"/>
        <v/>
      </c>
      <c r="AO57" s="20" t="str">
        <f t="shared" si="23"/>
        <v/>
      </c>
      <c r="AP57" s="20" t="str">
        <f t="shared" si="24"/>
        <v/>
      </c>
      <c r="AQ57" s="20" t="str">
        <f t="shared" si="25"/>
        <v/>
      </c>
      <c r="AR57" s="20" t="str">
        <f t="shared" si="26"/>
        <v/>
      </c>
      <c r="AS57" s="20" t="str">
        <f t="shared" si="27"/>
        <v/>
      </c>
      <c r="AT57" s="20" t="str">
        <f t="shared" si="28"/>
        <v/>
      </c>
      <c r="AU57" s="20" t="str">
        <f t="shared" si="29"/>
        <v/>
      </c>
      <c r="AV57" s="20" t="b">
        <f>IF(AI57="",FALSE,AND(AI57&lt;&gt;$B57,AI57&lt;&gt;$C56,IFERROR(INDEX($E$18:$E$30,MATCH(AI57,$B$18:$B$30,0)),"No")="Yes",IF(AND(OR($B$3="Stage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Girls"))),$B$5&gt;20),MIN(3,MAX(2,Setup!$B$14)),2))*2),AI57=$E$5,IF(AND(OR($B$3="Stage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Girls"))),$B$5&gt;20),MIN(3,MAX(2,Setup!$B$14)),2))*2-1))),AI57=$E$4,TRUE)),COUNTIF($C$32:$C56,AI57)&lt;$B$6,IF($BI57,COUNTIF($C$32:$C56,AI57)&lt;IF($B$3="Stage 1",MIN($B$6,MAX(1,INT($B$5/$B$11))),IF(AND($B$3="Stage 3",$B$5=20,$B$11&gt;11),1,IF(AND($B$3="Stage 3",OR($B$15="Year 10-11-12 Girls"),$B$5&gt;20),MAX(2,Setup!$B$14),Setup!$B$14))),IF(AND($B$3&lt;&gt;"Stage 2",$B$3&lt;&gt;"Stage 3"),TRUE,IF($U57,TRUE,COUNTIF($C$32:$C56,AI57)&lt;IF(AND($B$3="Stage 2",$B$5=20,AI57=$E$5,$A57&lt;=IF($B$8="One Keeper",$B$5,$B$8)),2,IF(AND(OR($B$3="Stage 2",AND($B$3="Stage 3",OR($B$15="Year 10-11-12 Girls"))),AI57=$E$5,$A57&lt;=IF($B$8="One Keeper",$B$5,$B$8)),3,$B$9)))))))</f>
        <v>0</v>
      </c>
      <c r="AW57" s="20" t="b">
        <f>IF(AJ57="",FALSE,AND(AJ57&lt;&gt;$B57,AJ57&lt;&gt;$C56,IFERROR(INDEX($E$18:$E$30,MATCH(AJ57,$B$18:$B$30,0)),"No")="Yes",IF(AND(OR($B$3="Stage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Girls"))),$B$5&gt;20),MIN(3,MAX(2,Setup!$B$14)),2))*2),AJ57=$E$5,IF(AND(OR($B$3="Stage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Girls"))),$B$5&gt;20),MIN(3,MAX(2,Setup!$B$14)),2))*2-1))),AJ57=$E$4,TRUE)),COUNTIF($C$32:$C56,AJ57)&lt;$B$6,IF($BI57,COUNTIF($C$32:$C56,AJ57)&lt;IF($B$3="Stage 1",MIN($B$6,MAX(1,INT($B$5/$B$11))),IF(AND($B$3="Stage 3",$B$5=20,$B$11&gt;11),1,IF(AND($B$3="Stage 3",OR($B$15="Year 10-11-12 Girls"),$B$5&gt;20),MAX(2,Setup!$B$14),Setup!$B$14))),IF(AND($B$3&lt;&gt;"Stage 2",$B$3&lt;&gt;"Stage 3"),TRUE,IF($U57,TRUE,COUNTIF($C$32:$C56,AJ57)&lt;IF(AND($B$3="Stage 2",$B$5=20,AJ57=$E$5,$A57&lt;=IF($B$8="One Keeper",$B$5,$B$8)),2,IF(AND(OR($B$3="Stage 2",AND($B$3="Stage 3",OR($B$15="Year 10-11-12 Girls"))),AJ57=$E$5,$A57&lt;=IF($B$8="One Keeper",$B$5,$B$8)),3,$B$9)))))))</f>
        <v>0</v>
      </c>
      <c r="AX57" s="20" t="b">
        <f>IF(AK57="",FALSE,AND(AK57&lt;&gt;$B57,AK57&lt;&gt;$C56,IFERROR(INDEX($E$18:$E$30,MATCH(AK57,$B$18:$B$30,0)),"No")="Yes",IF(AND(OR($B$3="Stage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Girls"))),$B$5&gt;20),MIN(3,MAX(2,Setup!$B$14)),2))*2),AK57=$E$5,IF(AND(OR($B$3="Stage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Girls"))),$B$5&gt;20),MIN(3,MAX(2,Setup!$B$14)),2))*2-1))),AK57=$E$4,TRUE)),COUNTIF($C$32:$C56,AK57)&lt;$B$6,IF($BI57,COUNTIF($C$32:$C56,AK57)&lt;IF($B$3="Stage 1",MIN($B$6,MAX(1,INT($B$5/$B$11))),IF(AND($B$3="Stage 3",$B$5=20,$B$11&gt;11),1,IF(AND($B$3="Stage 3",OR($B$15="Year 10-11-12 Girls"),$B$5&gt;20),MAX(2,Setup!$B$14),Setup!$B$14))),IF(AND($B$3&lt;&gt;"Stage 2",$B$3&lt;&gt;"Stage 3"),TRUE,IF($U57,TRUE,COUNTIF($C$32:$C56,AK57)&lt;IF(AND($B$3="Stage 2",$B$5=20,AK57=$E$5,$A57&lt;=IF($B$8="One Keeper",$B$5,$B$8)),2,IF(AND(OR($B$3="Stage 2",AND($B$3="Stage 3",OR($B$15="Year 10-11-12 Girls"))),AK57=$E$5,$A57&lt;=IF($B$8="One Keeper",$B$5,$B$8)),3,$B$9)))))))</f>
        <v>0</v>
      </c>
      <c r="AY57" s="20" t="b">
        <f>IF(AL57="",FALSE,AND(AL57&lt;&gt;$B57,AL57&lt;&gt;$C56,IFERROR(INDEX($E$18:$E$30,MATCH(AL57,$B$18:$B$30,0)),"No")="Yes",IF(AND(OR($B$3="Stage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Girls"))),$B$5&gt;20),MIN(3,MAX(2,Setup!$B$14)),2))*2),AL57=$E$5,IF(AND(OR($B$3="Stage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Girls"))),$B$5&gt;20),MIN(3,MAX(2,Setup!$B$14)),2))*2-1))),AL57=$E$4,TRUE)),COUNTIF($C$32:$C56,AL57)&lt;$B$6,IF($BI57,COUNTIF($C$32:$C56,AL57)&lt;IF($B$3="Stage 1",MIN($B$6,MAX(1,INT($B$5/$B$11))),IF(AND($B$3="Stage 3",$B$5=20,$B$11&gt;11),1,IF(AND($B$3="Stage 3",OR($B$15="Year 10-11-12 Girls"),$B$5&gt;20),MAX(2,Setup!$B$14),Setup!$B$14))),IF(AND($B$3&lt;&gt;"Stage 2",$B$3&lt;&gt;"Stage 3"),TRUE,IF($U57,TRUE,COUNTIF($C$32:$C56,AL57)&lt;IF(AND($B$3="Stage 2",$B$5=20,AL57=$E$5,$A57&lt;=IF($B$8="One Keeper",$B$5,$B$8)),2,IF(AND(OR($B$3="Stage 2",AND($B$3="Stage 3",OR($B$15="Year 10-11-12 Girls"))),AL57=$E$5,$A57&lt;=IF($B$8="One Keeper",$B$5,$B$8)),3,$B$9)))))))</f>
        <v>0</v>
      </c>
      <c r="AZ57" s="20" t="b">
        <f>IF(AM57="",FALSE,AND(AM57&lt;&gt;$B57,AM57&lt;&gt;$C56,IFERROR(INDEX($E$18:$E$30,MATCH(AM57,$B$18:$B$30,0)),"No")="Yes",IF(AND(OR($B$3="Stage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Girls"))),$B$5&gt;20),MIN(3,MAX(2,Setup!$B$14)),2))*2),AM57=$E$5,IF(AND(OR($B$3="Stage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Girls"))),$B$5&gt;20),MIN(3,MAX(2,Setup!$B$14)),2))*2-1))),AM57=$E$4,TRUE)),COUNTIF($C$32:$C56,AM57)&lt;$B$6,IF($BI57,COUNTIF($C$32:$C56,AM57)&lt;IF($B$3="Stage 1",MIN($B$6,MAX(1,INT($B$5/$B$11))),IF(AND($B$3="Stage 3",$B$5=20,$B$11&gt;11),1,IF(AND($B$3="Stage 3",OR($B$15="Year 10-11-12 Girls"),$B$5&gt;20),MAX(2,Setup!$B$14),Setup!$B$14))),IF(AND($B$3&lt;&gt;"Stage 2",$B$3&lt;&gt;"Stage 3"),TRUE,IF($U57,TRUE,COUNTIF($C$32:$C56,AM57)&lt;IF(AND($B$3="Stage 2",$B$5=20,AM57=$E$5,$A57&lt;=IF($B$8="One Keeper",$B$5,$B$8)),2,IF(AND(OR($B$3="Stage 2",AND($B$3="Stage 3",OR($B$15="Year 10-11-12 Girls"))),AM57=$E$5,$A57&lt;=IF($B$8="One Keeper",$B$5,$B$8)),3,$B$9)))))))</f>
        <v>0</v>
      </c>
      <c r="BA57" s="20" t="b">
        <f>IF(AN57="",FALSE,AND(AN57&lt;&gt;$B57,AN57&lt;&gt;$C56,IFERROR(INDEX($E$18:$E$30,MATCH(AN57,$B$18:$B$30,0)),"No")="Yes",IF(AND(OR($B$3="Stage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Girls"))),$B$5&gt;20),MIN(3,MAX(2,Setup!$B$14)),2))*2),AN57=$E$5,IF(AND(OR($B$3="Stage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Girls"))),$B$5&gt;20),MIN(3,MAX(2,Setup!$B$14)),2))*2-1))),AN57=$E$4,TRUE)),COUNTIF($C$32:$C56,AN57)&lt;$B$6,IF($BI57,COUNTIF($C$32:$C56,AN57)&lt;IF($B$3="Stage 1",MIN($B$6,MAX(1,INT($B$5/$B$11))),IF(AND($B$3="Stage 3",$B$5=20,$B$11&gt;11),1,IF(AND($B$3="Stage 3",OR($B$15="Year 10-11-12 Girls"),$B$5&gt;20),MAX(2,Setup!$B$14),Setup!$B$14))),IF(AND($B$3&lt;&gt;"Stage 2",$B$3&lt;&gt;"Stage 3"),TRUE,IF($U57,TRUE,COUNTIF($C$32:$C56,AN57)&lt;IF(AND($B$3="Stage 2",$B$5=20,AN57=$E$5,$A57&lt;=IF($B$8="One Keeper",$B$5,$B$8)),2,IF(AND(OR($B$3="Stage 2",AND($B$3="Stage 3",OR($B$15="Year 10-11-12 Girls"))),AN57=$E$5,$A57&lt;=IF($B$8="One Keeper",$B$5,$B$8)),3,$B$9)))))))</f>
        <v>0</v>
      </c>
      <c r="BB57" s="20" t="b">
        <f>IF(AO57="",FALSE,AND(AO57&lt;&gt;$B57,AO57&lt;&gt;$C56,IFERROR(INDEX($E$18:$E$30,MATCH(AO57,$B$18:$B$30,0)),"No")="Yes",IF(AND(OR($B$3="Stage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Girls"))),$B$5&gt;20),MIN(3,MAX(2,Setup!$B$14)),2))*2),AO57=$E$5,IF(AND(OR($B$3="Stage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Girls"))),$B$5&gt;20),MIN(3,MAX(2,Setup!$B$14)),2))*2-1))),AO57=$E$4,TRUE)),COUNTIF($C$32:$C56,AO57)&lt;$B$6,IF($BI57,COUNTIF($C$32:$C56,AO57)&lt;IF($B$3="Stage 1",MIN($B$6,MAX(1,INT($B$5/$B$11))),IF(AND($B$3="Stage 3",$B$5=20,$B$11&gt;11),1,IF(AND($B$3="Stage 3",OR($B$15="Year 10-11-12 Girls"),$B$5&gt;20),MAX(2,Setup!$B$14),Setup!$B$14))),IF(AND($B$3&lt;&gt;"Stage 2",$B$3&lt;&gt;"Stage 3"),TRUE,IF($U57,TRUE,COUNTIF($C$32:$C56,AO57)&lt;IF(AND($B$3="Stage 2",$B$5=20,AO57=$E$5,$A57&lt;=IF($B$8="One Keeper",$B$5,$B$8)),2,IF(AND(OR($B$3="Stage 2",AND($B$3="Stage 3",OR($B$15="Year 10-11-12 Girls"))),AO57=$E$5,$A57&lt;=IF($B$8="One Keeper",$B$5,$B$8)),3,$B$9)))))))</f>
        <v>0</v>
      </c>
      <c r="BC57" s="20" t="b">
        <f>IF(AP57="",FALSE,AND(AP57&lt;&gt;$B57,AP57&lt;&gt;$C56,IFERROR(INDEX($E$18:$E$30,MATCH(AP57,$B$18:$B$30,0)),"No")="Yes",IF(AND(OR($B$3="Stage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Girls"))),$B$5&gt;20),MIN(3,MAX(2,Setup!$B$14)),2))*2),AP57=$E$5,IF(AND(OR($B$3="Stage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Girls"))),$B$5&gt;20),MIN(3,MAX(2,Setup!$B$14)),2))*2-1))),AP57=$E$4,TRUE)),COUNTIF($C$32:$C56,AP57)&lt;$B$6,IF($BI57,COUNTIF($C$32:$C56,AP57)&lt;IF($B$3="Stage 1",MIN($B$6,MAX(1,INT($B$5/$B$11))),IF(AND($B$3="Stage 3",$B$5=20,$B$11&gt;11),1,IF(AND($B$3="Stage 3",OR($B$15="Year 10-11-12 Girls"),$B$5&gt;20),MAX(2,Setup!$B$14),Setup!$B$14))),IF(AND($B$3&lt;&gt;"Stage 2",$B$3&lt;&gt;"Stage 3"),TRUE,IF($U57,TRUE,COUNTIF($C$32:$C56,AP57)&lt;IF(AND($B$3="Stage 2",$B$5=20,AP57=$E$5,$A57&lt;=IF($B$8="One Keeper",$B$5,$B$8)),2,IF(AND(OR($B$3="Stage 2",AND($B$3="Stage 3",OR($B$15="Year 10-11-12 Girls"))),AP57=$E$5,$A57&lt;=IF($B$8="One Keeper",$B$5,$B$8)),3,$B$9)))))))</f>
        <v>0</v>
      </c>
      <c r="BD57" s="20" t="b">
        <f>IF(AQ57="",FALSE,AND(AQ57&lt;&gt;$B57,AQ57&lt;&gt;$C56,IFERROR(INDEX($E$18:$E$30,MATCH(AQ57,$B$18:$B$30,0)),"No")="Yes",IF(AND(OR($B$3="Stage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Girls"))),$B$5&gt;20),MIN(3,MAX(2,Setup!$B$14)),2))*2),AQ57=$E$5,IF(AND(OR($B$3="Stage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Girls"))),$B$5&gt;20),MIN(3,MAX(2,Setup!$B$14)),2))*2-1))),AQ57=$E$4,TRUE)),COUNTIF($C$32:$C56,AQ57)&lt;$B$6,IF($BI57,COUNTIF($C$32:$C56,AQ57)&lt;IF($B$3="Stage 1",MIN($B$6,MAX(1,INT($B$5/$B$11))),IF(AND($B$3="Stage 3",$B$5=20,$B$11&gt;11),1,IF(AND($B$3="Stage 3",OR($B$15="Year 10-11-12 Girls"),$B$5&gt;20),MAX(2,Setup!$B$14),Setup!$B$14))),IF(AND($B$3&lt;&gt;"Stage 2",$B$3&lt;&gt;"Stage 3"),TRUE,IF($U57,TRUE,COUNTIF($C$32:$C56,AQ57)&lt;IF(AND($B$3="Stage 2",$B$5=20,AQ57=$E$5,$A57&lt;=IF($B$8="One Keeper",$B$5,$B$8)),2,IF(AND(OR($B$3="Stage 2",AND($B$3="Stage 3",OR($B$15="Year 10-11-12 Girls"))),AQ57=$E$5,$A57&lt;=IF($B$8="One Keeper",$B$5,$B$8)),3,$B$9)))))))</f>
        <v>0</v>
      </c>
      <c r="BE57" s="20" t="b">
        <f>IF(AR57="",FALSE,AND(AR57&lt;&gt;$B57,AR57&lt;&gt;$C56,IFERROR(INDEX($E$18:$E$30,MATCH(AR57,$B$18:$B$30,0)),"No")="Yes",IF(AND(OR($B$3="Stage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Girls"))),$B$5&gt;20),MIN(3,MAX(2,Setup!$B$14)),2))*2),AR57=$E$5,IF(AND(OR($B$3="Stage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Girls"))),$B$5&gt;20),MIN(3,MAX(2,Setup!$B$14)),2))*2-1))),AR57=$E$4,TRUE)),COUNTIF($C$32:$C56,AR57)&lt;$B$6,IF($BI57,COUNTIF($C$32:$C56,AR57)&lt;IF($B$3="Stage 1",MIN($B$6,MAX(1,INT($B$5/$B$11))),IF(AND($B$3="Stage 3",$B$5=20,$B$11&gt;11),1,IF(AND($B$3="Stage 3",OR($B$15="Year 10-11-12 Girls"),$B$5&gt;20),MAX(2,Setup!$B$14),Setup!$B$14))),IF(AND($B$3&lt;&gt;"Stage 2",$B$3&lt;&gt;"Stage 3"),TRUE,IF($U57,TRUE,COUNTIF($C$32:$C56,AR57)&lt;IF(AND($B$3="Stage 2",$B$5=20,AR57=$E$5,$A57&lt;=IF($B$8="One Keeper",$B$5,$B$8)),2,IF(AND(OR($B$3="Stage 2",AND($B$3="Stage 3",OR($B$15="Year 10-11-12 Girls"))),AR57=$E$5,$A57&lt;=IF($B$8="One Keeper",$B$5,$B$8)),3,$B$9)))))))</f>
        <v>0</v>
      </c>
      <c r="BF57" s="20" t="b">
        <f>IF(AS57="",FALSE,AND(AS57&lt;&gt;$B57,AS57&lt;&gt;$C56,IFERROR(INDEX($E$18:$E$30,MATCH(AS57,$B$18:$B$30,0)),"No")="Yes",IF(AND(OR($B$3="Stage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Girls"))),$B$5&gt;20),MIN(3,MAX(2,Setup!$B$14)),2))*2),AS57=$E$5,IF(AND(OR($B$3="Stage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Girls"))),$B$5&gt;20),MIN(3,MAX(2,Setup!$B$14)),2))*2-1))),AS57=$E$4,TRUE)),COUNTIF($C$32:$C56,AS57)&lt;$B$6,IF($BI57,COUNTIF($C$32:$C56,AS57)&lt;IF($B$3="Stage 1",MIN($B$6,MAX(1,INT($B$5/$B$11))),IF(AND($B$3="Stage 3",$B$5=20,$B$11&gt;11),1,IF(AND($B$3="Stage 3",OR($B$15="Year 10-11-12 Girls"),$B$5&gt;20),MAX(2,Setup!$B$14),Setup!$B$14))),IF(AND($B$3&lt;&gt;"Stage 2",$B$3&lt;&gt;"Stage 3"),TRUE,IF($U57,TRUE,COUNTIF($C$32:$C56,AS57)&lt;IF(AND($B$3="Stage 2",$B$5=20,AS57=$E$5,$A57&lt;=IF($B$8="One Keeper",$B$5,$B$8)),2,IF(AND(OR($B$3="Stage 2",AND($B$3="Stage 3",OR($B$15="Year 10-11-12 Girls"))),AS57=$E$5,$A57&lt;=IF($B$8="One Keeper",$B$5,$B$8)),3,$B$9)))))))</f>
        <v>0</v>
      </c>
      <c r="BG57" s="20" t="b">
        <f>IF(AT57="",FALSE,AND(AT57&lt;&gt;$B57,AT57&lt;&gt;$C56,IFERROR(INDEX($E$18:$E$30,MATCH(AT57,$B$18:$B$30,0)),"No")="Yes",IF(AND(OR($B$3="Stage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Girls"))),$B$5&gt;20),MIN(3,MAX(2,Setup!$B$14)),2))*2),AT57=$E$5,IF(AND(OR($B$3="Stage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Girls"))),$B$5&gt;20),MIN(3,MAX(2,Setup!$B$14)),2))*2-1))),AT57=$E$4,TRUE)),COUNTIF($C$32:$C56,AT57)&lt;$B$6,IF($BI57,COUNTIF($C$32:$C56,AT57)&lt;IF($B$3="Stage 1",MIN($B$6,MAX(1,INT($B$5/$B$11))),IF(AND($B$3="Stage 3",$B$5=20,$B$11&gt;11),1,IF(AND($B$3="Stage 3",OR($B$15="Year 10-11-12 Girls"),$B$5&gt;20),MAX(2,Setup!$B$14),Setup!$B$14))),IF(AND($B$3&lt;&gt;"Stage 2",$B$3&lt;&gt;"Stage 3"),TRUE,IF($U57,TRUE,COUNTIF($C$32:$C56,AT57)&lt;IF(AND($B$3="Stage 2",$B$5=20,AT57=$E$5,$A57&lt;=IF($B$8="One Keeper",$B$5,$B$8)),2,IF(AND(OR($B$3="Stage 2",AND($B$3="Stage 3",OR($B$15="Year 10-11-12 Girls"))),AT57=$E$5,$A57&lt;=IF($B$8="One Keeper",$B$5,$B$8)),3,$B$9)))))))</f>
        <v>0</v>
      </c>
      <c r="BH57" s="20" t="b">
        <f>IF(AU57="",FALSE,AND(AU57&lt;&gt;$B57,AU57&lt;&gt;$C56,IFERROR(INDEX($E$18:$E$30,MATCH(AU57,$B$18:$B$30,0)),"No")="Yes",IF(AND(OR($B$3="Stage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Girls"))),$B$5&gt;20),MIN(3,MAX(2,Setup!$B$14)),2))*2),AU57=$E$5,IF(AND(OR($B$3="Stage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Girls"))),$B$5&gt;20),MIN(3,MAX(2,Setup!$B$14)),2))*2-1))),AU57=$E$4,TRUE)),COUNTIF($C$32:$C56,AU57)&lt;$B$6,IF($BI57,COUNTIF($C$32:$C56,AU57)&lt;IF($B$3="Stage 1",MIN($B$6,MAX(1,INT($B$5/$B$11))),IF(AND($B$3="Stage 3",$B$5=20,$B$11&gt;11),1,IF(AND($B$3="Stage 3",OR($B$15="Year 10-11-12 Girls"),$B$5&gt;20),MAX(2,Setup!$B$14),Setup!$B$14))),IF(AND($B$3&lt;&gt;"Stage 2",$B$3&lt;&gt;"Stage 3"),TRUE,IF($U57,TRUE,COUNTIF($C$32:$C56,AU57)&lt;IF(AND($B$3="Stage 2",$B$5=20,AU57=$E$5,$A57&lt;=IF($B$8="One Keeper",$B$5,$B$8)),2,IF(AND(OR($B$3="Stage 2",AND($B$3="Stage 3",OR($B$15="Year 10-11-12 Girls"))),AU57=$E$5,$A57&lt;=IF($B$8="One Keeper",$B$5,$B$8)),3,$B$9)))))))</f>
        <v>0</v>
      </c>
      <c r="BI57"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Keeper",$E$4&lt;&gt;$E$5,$A57&lt;=IF($B$8="One Keeper",$B$5,$B$8),COUNTIF($C$32:$C56,$E$5)&lt;IF(AND($B$3="Stage 3",$B$5=20,$B$11&gt;11),1,IF(AND(OR($B$3="Stage 2",AND($B$3="Stage 3",OR($B$15="Year 10-11-12 Girls"))),$B$5&gt;20),MIN(3,MAX(2,Setup!$B$14)),2)),IFERROR(INDEX($E$18:$E$30,MATCH($E$5,$B$18:$B$30,0)),"No")="Yes",$C56&lt;&gt;$E$5,MOD($A57,2)=0,$A57&lt;=IF(AND($B$3="Stage 3",$B$5=20,$B$11&gt;11),1,IF(AND(OR($B$3="Stage 2",AND($B$3="Stage 3",OR($B$15="Year 10-11-12 Girls"))),$B$5&gt;20),MIN(3,MAX(2,Setup!$B$14)),2))*2),AND(OR($B$3="Stage 1",$B$3="Stage 2",AND($B$3="Stage 3",OR(OR($B$15="Year 10-11-12 Girls"),OR($B$15="Year 8 Boys",$B$15="Year 9 Boys",$B$15="Year 10-11 Boys")))),$B$8&lt;&gt;"One Keeper",$E$4&lt;&gt;$E$5,$A57&gt;IF($B$8="One Keeper",$B$5,$B$8),COUNTIF($C$32:$C56,$E$4)&lt;IF(AND($B$3="Stage 3",$B$5=20,$B$11&gt;11),1,IF(AND(OR($B$3="Stage 2",AND($B$3="Stage 3",OR($B$15="Year 10-11-12 Girls"))),$B$5&gt;20),MIN(3,MAX(2,Setup!$B$14)),2)),IFERROR(INDEX($E$18:$E$30,MATCH($E$4,$B$18:$B$30,0)),"No")="Yes",$C56&lt;&gt;$E$4,IF($B$7="Three-over spell",AND(MOD($A57-IF($B$8="One Keeper",$B$5,$B$8)-1,3)=0,($A57-IF($B$8="One Keeper",$B$5,$B$8))&lt;=1+(IF(AND($B$3="Stage 3",$B$5=20,$B$11&gt;11),1,IF(AND(OR($B$3="Stage 2",AND($B$3="Stage 3",OR($B$15="Year 10-11-12 Girls"))),$B$5&gt;20),MIN(3,MAX(2,Setup!$B$14)),2))-1)*3),AND(MOD($A57-IF($B$8="One Keeper",$B$5,$B$8),2)=1,($A57-IF($B$8="One Keeper",$B$5,$B$8))&lt;=IF(AND($B$3="Stage 3",$B$5=20,$B$11&gt;11),1,IF(AND(OR($B$3="Stage 2",AND($B$3="Stage 3",OR($B$15="Year 10-11-12 Girls"))),$B$5&gt;20),MIN(3,MAX(2,Setup!$B$14)),2))*2-1))))),OR($U57,AND($B$3="Stage 3",$B$5=20,$B$11&gt;11)),OR($BJ57,$BK57,$BL57,$BM57,$BN57,$BO57,$BP57,$BQ57,$BR57,$BS57,$BT57,$BU57,$BV57))</f>
        <v>0</v>
      </c>
      <c r="BJ57" s="20" t="b">
        <f>IF(AI57="",FALSE,AND(AI57&lt;&gt;IF(AND($B$3="Stage 3",OR($B$15="Year 8 Boys",$B$15="Year 9 Boys",$B$15="Year 10-11 Boys"),$B$8="One Keeper"),$E$4,""),AI57&lt;&gt;$B57,AI57&lt;&gt;$C56,IFERROR(INDEX($E$18:$E$30,MATCH(AI57,$B$18:$B$30,0)),"No")="Yes",COUNTIF($C$32:$C56,AI57)&lt;$B$6,COUNTIF($C$32:$C56,AI57)&lt;IF($B$3="Stage 1",MIN($B$6,MAX(1,INT($B$5/$B$11))),IF(AND($B$3="Stage 3",$B$5=20,$B$11&gt;11),1,IF(AND($B$3="Stage 3",OR($B$15="Year 10-11-12 Girls"),$B$5&gt;20),MAX(2,Setup!$B$14),Setup!$B$14)))))</f>
        <v>0</v>
      </c>
      <c r="BK57" s="20" t="b">
        <f>IF(AJ57="",FALSE,AND(AJ57&lt;&gt;IF(AND($B$3="Stage 3",OR($B$15="Year 8 Boys",$B$15="Year 9 Boys",$B$15="Year 10-11 Boys"),$B$8="One Keeper"),$E$4,""),AJ57&lt;&gt;$B57,AJ57&lt;&gt;$C56,IFERROR(INDEX($E$18:$E$30,MATCH(AJ57,$B$18:$B$30,0)),"No")="Yes",COUNTIF($C$32:$C56,AJ57)&lt;$B$6,COUNTIF($C$32:$C56,AJ57)&lt;IF($B$3="Stage 1",MIN($B$6,MAX(1,INT($B$5/$B$11))),IF(AND($B$3="Stage 3",$B$5=20,$B$11&gt;11),1,IF(AND($B$3="Stage 3",OR($B$15="Year 10-11-12 Girls"),$B$5&gt;20),MAX(2,Setup!$B$14),Setup!$B$14)))))</f>
        <v>0</v>
      </c>
      <c r="BL57" s="20" t="b">
        <f>IF(AK57="",FALSE,AND(AK57&lt;&gt;IF(AND($B$3="Stage 3",OR($B$15="Year 8 Boys",$B$15="Year 9 Boys",$B$15="Year 10-11 Boys"),$B$8="One Keeper"),$E$4,""),AK57&lt;&gt;$B57,AK57&lt;&gt;$C56,IFERROR(INDEX($E$18:$E$30,MATCH(AK57,$B$18:$B$30,0)),"No")="Yes",COUNTIF($C$32:$C56,AK57)&lt;$B$6,COUNTIF($C$32:$C56,AK57)&lt;IF($B$3="Stage 1",MIN($B$6,MAX(1,INT($B$5/$B$11))),IF(AND($B$3="Stage 3",$B$5=20,$B$11&gt;11),1,IF(AND($B$3="Stage 3",OR($B$15="Year 10-11-12 Girls"),$B$5&gt;20),MAX(2,Setup!$B$14),Setup!$B$14)))))</f>
        <v>0</v>
      </c>
      <c r="BM57" s="20" t="b">
        <f>IF(AL57="",FALSE,AND(AL57&lt;&gt;IF(AND($B$3="Stage 3",OR($B$15="Year 8 Boys",$B$15="Year 9 Boys",$B$15="Year 10-11 Boys"),$B$8="One Keeper"),$E$4,""),AL57&lt;&gt;$B57,AL57&lt;&gt;$C56,IFERROR(INDEX($E$18:$E$30,MATCH(AL57,$B$18:$B$30,0)),"No")="Yes",COUNTIF($C$32:$C56,AL57)&lt;$B$6,COUNTIF($C$32:$C56,AL57)&lt;IF($B$3="Stage 1",MIN($B$6,MAX(1,INT($B$5/$B$11))),IF(AND($B$3="Stage 3",$B$5=20,$B$11&gt;11),1,IF(AND($B$3="Stage 3",OR($B$15="Year 10-11-12 Girls"),$B$5&gt;20),MAX(2,Setup!$B$14),Setup!$B$14)))))</f>
        <v>0</v>
      </c>
      <c r="BN57" s="20" t="b">
        <f>IF(AM57="",FALSE,AND(AM57&lt;&gt;IF(AND($B$3="Stage 3",OR($B$15="Year 8 Boys",$B$15="Year 9 Boys",$B$15="Year 10-11 Boys"),$B$8="One Keeper"),$E$4,""),AM57&lt;&gt;$B57,AM57&lt;&gt;$C56,IFERROR(INDEX($E$18:$E$30,MATCH(AM57,$B$18:$B$30,0)),"No")="Yes",COUNTIF($C$32:$C56,AM57)&lt;$B$6,COUNTIF($C$32:$C56,AM57)&lt;IF($B$3="Stage 1",MIN($B$6,MAX(1,INT($B$5/$B$11))),IF(AND($B$3="Stage 3",$B$5=20,$B$11&gt;11),1,IF(AND($B$3="Stage 3",OR($B$15="Year 10-11-12 Girls"),$B$5&gt;20),MAX(2,Setup!$B$14),Setup!$B$14)))))</f>
        <v>0</v>
      </c>
      <c r="BO57" s="20" t="b">
        <f>IF(AN57="",FALSE,AND(AN57&lt;&gt;IF(AND($B$3="Stage 3",OR($B$15="Year 8 Boys",$B$15="Year 9 Boys",$B$15="Year 10-11 Boys"),$B$8="One Keeper"),$E$4,""),AN57&lt;&gt;$B57,AN57&lt;&gt;$C56,IFERROR(INDEX($E$18:$E$30,MATCH(AN57,$B$18:$B$30,0)),"No")="Yes",COUNTIF($C$32:$C56,AN57)&lt;$B$6,COUNTIF($C$32:$C56,AN57)&lt;IF($B$3="Stage 1",MIN($B$6,MAX(1,INT($B$5/$B$11))),IF(AND($B$3="Stage 3",$B$5=20,$B$11&gt;11),1,IF(AND($B$3="Stage 3",OR($B$15="Year 10-11-12 Girls"),$B$5&gt;20),MAX(2,Setup!$B$14),Setup!$B$14)))))</f>
        <v>0</v>
      </c>
      <c r="BP57" s="20" t="b">
        <f>IF(AO57="",FALSE,AND(AO57&lt;&gt;IF(AND($B$3="Stage 3",OR($B$15="Year 8 Boys",$B$15="Year 9 Boys",$B$15="Year 10-11 Boys"),$B$8="One Keeper"),$E$4,""),AO57&lt;&gt;$B57,AO57&lt;&gt;$C56,IFERROR(INDEX($E$18:$E$30,MATCH(AO57,$B$18:$B$30,0)),"No")="Yes",COUNTIF($C$32:$C56,AO57)&lt;$B$6,COUNTIF($C$32:$C56,AO57)&lt;IF($B$3="Stage 1",MIN($B$6,MAX(1,INT($B$5/$B$11))),IF(AND($B$3="Stage 3",$B$5=20,$B$11&gt;11),1,IF(AND($B$3="Stage 3",OR($B$15="Year 10-11-12 Girls"),$B$5&gt;20),MAX(2,Setup!$B$14),Setup!$B$14)))))</f>
        <v>0</v>
      </c>
      <c r="BQ57" s="20" t="b">
        <f>IF(AP57="",FALSE,AND(AP57&lt;&gt;IF(AND($B$3="Stage 3",OR($B$15="Year 8 Boys",$B$15="Year 9 Boys",$B$15="Year 10-11 Boys"),$B$8="One Keeper"),$E$4,""),AP57&lt;&gt;$B57,AP57&lt;&gt;$C56,IFERROR(INDEX($E$18:$E$30,MATCH(AP57,$B$18:$B$30,0)),"No")="Yes",COUNTIF($C$32:$C56,AP57)&lt;$B$6,COUNTIF($C$32:$C56,AP57)&lt;IF($B$3="Stage 1",MIN($B$6,MAX(1,INT($B$5/$B$11))),IF(AND($B$3="Stage 3",$B$5=20,$B$11&gt;11),1,IF(AND($B$3="Stage 3",OR($B$15="Year 10-11-12 Girls"),$B$5&gt;20),MAX(2,Setup!$B$14),Setup!$B$14)))))</f>
        <v>0</v>
      </c>
      <c r="BR57" s="20" t="b">
        <f>IF(AQ57="",FALSE,AND(AQ57&lt;&gt;IF(AND($B$3="Stage 3",OR($B$15="Year 8 Boys",$B$15="Year 9 Boys",$B$15="Year 10-11 Boys"),$B$8="One Keeper"),$E$4,""),AQ57&lt;&gt;$B57,AQ57&lt;&gt;$C56,IFERROR(INDEX($E$18:$E$30,MATCH(AQ57,$B$18:$B$30,0)),"No")="Yes",COUNTIF($C$32:$C56,AQ57)&lt;$B$6,COUNTIF($C$32:$C56,AQ57)&lt;IF($B$3="Stage 1",MIN($B$6,MAX(1,INT($B$5/$B$11))),IF(AND($B$3="Stage 3",$B$5=20,$B$11&gt;11),1,IF(AND($B$3="Stage 3",OR($B$15="Year 10-11-12 Girls"),$B$5&gt;20),MAX(2,Setup!$B$14),Setup!$B$14)))))</f>
        <v>0</v>
      </c>
      <c r="BS57" s="20" t="b">
        <f>IF(AR57="",FALSE,AND(AR57&lt;&gt;IF(AND($B$3="Stage 3",OR($B$15="Year 8 Boys",$B$15="Year 9 Boys",$B$15="Year 10-11 Boys"),$B$8="One Keeper"),$E$4,""),AR57&lt;&gt;$B57,AR57&lt;&gt;$C56,IFERROR(INDEX($E$18:$E$30,MATCH(AR57,$B$18:$B$30,0)),"No")="Yes",COUNTIF($C$32:$C56,AR57)&lt;$B$6,COUNTIF($C$32:$C56,AR57)&lt;IF($B$3="Stage 1",MIN($B$6,MAX(1,INT($B$5/$B$11))),IF(AND($B$3="Stage 3",$B$5=20,$B$11&gt;11),1,IF(AND($B$3="Stage 3",OR($B$15="Year 10-11-12 Girls"),$B$5&gt;20),MAX(2,Setup!$B$14),Setup!$B$14)))))</f>
        <v>0</v>
      </c>
      <c r="BT57" s="20" t="b">
        <f>IF(AS57="",FALSE,AND(AS57&lt;&gt;IF(AND($B$3="Stage 3",OR($B$15="Year 8 Boys",$B$15="Year 9 Boys",$B$15="Year 10-11 Boys"),$B$8="One Keeper"),$E$4,""),AS57&lt;&gt;$B57,AS57&lt;&gt;$C56,IFERROR(INDEX($E$18:$E$30,MATCH(AS57,$B$18:$B$30,0)),"No")="Yes",COUNTIF($C$32:$C56,AS57)&lt;$B$6,COUNTIF($C$32:$C56,AS57)&lt;IF($B$3="Stage 1",MIN($B$6,MAX(1,INT($B$5/$B$11))),IF(AND($B$3="Stage 3",$B$5=20,$B$11&gt;11),1,IF(AND($B$3="Stage 3",OR($B$15="Year 10-11-12 Girls"),$B$5&gt;20),MAX(2,Setup!$B$14),Setup!$B$14)))))</f>
        <v>0</v>
      </c>
      <c r="BU57" s="20" t="b">
        <f>IF(AT57="",FALSE,AND(AT57&lt;&gt;IF(AND($B$3="Stage 3",OR($B$15="Year 8 Boys",$B$15="Year 9 Boys",$B$15="Year 10-11 Boys"),$B$8="One Keeper"),$E$4,""),AT57&lt;&gt;$B57,AT57&lt;&gt;$C56,IFERROR(INDEX($E$18:$E$30,MATCH(AT57,$B$18:$B$30,0)),"No")="Yes",COUNTIF($C$32:$C56,AT57)&lt;$B$6,COUNTIF($C$32:$C56,AT57)&lt;IF($B$3="Stage 1",MIN($B$6,MAX(1,INT($B$5/$B$11))),IF(AND($B$3="Stage 3",$B$5=20,$B$11&gt;11),1,IF(AND($B$3="Stage 3",OR($B$15="Year 10-11-12 Girls"),$B$5&gt;20),MAX(2,Setup!$B$14),Setup!$B$14)))))</f>
        <v>0</v>
      </c>
      <c r="BV57" s="20" t="b">
        <f>IF(AU57="",FALSE,AND(AU57&lt;&gt;IF(AND($B$3="Stage 3",OR($B$15="Year 8 Boys",$B$15="Year 9 Boys",$B$15="Year 10-11 Boys"),$B$8="One Keeper"),$E$4,""),AU57&lt;&gt;$B57,AU57&lt;&gt;$C56,IFERROR(INDEX($E$18:$E$30,MATCH(AU57,$B$18:$B$30,0)),"No")="Yes",COUNTIF($C$32:$C56,AU57)&lt;$B$6,COUNTIF($C$32:$C56,AU57)&lt;IF($B$3="Stage 1",MIN($B$6,MAX(1,INT($B$5/$B$11))),IF(AND($B$3="Stage 3",$B$5=20,$B$11&gt;11),1,IF(AND($B$3="Stage 3",OR($B$15="Year 10-11-12 Girls"),$B$5&gt;20),MAX(2,Setup!$B$14),Setup!$B$14)))))</f>
        <v>0</v>
      </c>
      <c r="BW57" s="20"/>
      <c r="BX57" s="20"/>
      <c r="BY57" s="20"/>
      <c r="BZ57" s="20"/>
      <c r="CA57" s="20"/>
      <c r="CB57" s="20"/>
      <c r="CC57" s="20"/>
      <c r="CD57" s="20"/>
      <c r="CE57" s="20"/>
      <c r="CF57" s="20"/>
      <c r="CG57" s="20"/>
      <c r="CH57" s="20"/>
      <c r="CI57" s="20"/>
      <c r="CJ57" s="20"/>
      <c r="CK57" s="20"/>
    </row>
    <row r="58" spans="1:89" ht="15" customHeight="1">
      <c r="A58" s="18">
        <v>27</v>
      </c>
      <c r="B58" s="18" t="str">
        <f t="shared" si="5"/>
        <v/>
      </c>
      <c r="C58" s="18" t="str">
        <f t="shared" si="6"/>
        <v/>
      </c>
      <c r="D58" s="18">
        <f t="shared" si="7"/>
        <v>8</v>
      </c>
      <c r="E58" s="18" t="str">
        <f>IF($C58="","",COUNTIF($C$32:C58,$C58))</f>
        <v/>
      </c>
      <c r="F58" s="18" t="str">
        <f t="shared" si="8"/>
        <v/>
      </c>
      <c r="T58" s="20" t="str">
        <f t="shared" si="15"/>
        <v/>
      </c>
      <c r="U58" s="20" t="b">
        <f>IF(OR($B$3="Stage 2",AND($B$3="Stage 3",OR($B$15="Year 10-11-12 Girls"))),(IF(AND($P$18&lt;&gt;"",$P$18&lt;&gt;$E$4,COUNTIF($C$32:$C57,$P$18)&gt;=2),1,0)+IF(AND($P$19&lt;&gt;"",$P$19&lt;&gt;$E$4,COUNTIF($C$32:$C57,$P$19)&gt;=2),1,0)+IF(AND($P$20&lt;&gt;"",$P$20&lt;&gt;$E$4,COUNTIF($C$32:$C57,$P$20)&gt;=2),1,0)+IF(AND($P$21&lt;&gt;"",$P$21&lt;&gt;$E$4,COUNTIF($C$32:$C57,$P$21)&gt;=2),1,0)+IF(AND($P$22&lt;&gt;"",$P$22&lt;&gt;$E$4,COUNTIF($C$32:$C57,$P$22)&gt;=2),1,0)+IF(AND($P$23&lt;&gt;"",$P$23&lt;&gt;$E$4,COUNTIF($C$32:$C57,$P$23)&gt;=2),1,0)+IF(AND($P$24&lt;&gt;"",$P$24&lt;&gt;$E$4,COUNTIF($C$32:$C57,$P$24)&gt;=2),1,0)+IF(AND($P$25&lt;&gt;"",$P$25&lt;&gt;$E$4,COUNTIF($C$32:$C57,$P$25)&gt;=2),1,0)+IF(AND($P$26&lt;&gt;"",$P$26&lt;&gt;$E$4,COUNTIF($C$32:$C57,$P$26)&gt;=2),1,0)+IF(AND($P$27&lt;&gt;"",$P$27&lt;&gt;$E$4,COUNTIF($C$32:$C57,$P$27)&gt;=2),1,0)+IF(AND($P$28&lt;&gt;"",$P$28&lt;&gt;$E$4,COUNTIF($C$32:$C57,$P$28)&gt;=2),1,0)+IF(AND($P$29&lt;&gt;"",$P$29&lt;&gt;$E$4,COUNTIF($C$32:$C57,$P$29)&gt;=2),1,0)+IF(AND($P$30&lt;&gt;"",$P$30&lt;&gt;$E$4,COUNTIF($C$32:$C57,$P$30)&gt;=2),1,0))&gt;=MAX(0,$B$11-1),IF(AND($B$3="Stage 3",OR($B$15="Year 8 Boys",$B$15="Year 9 Boys",$B$15="Year 10-11 Boys")),(IF(AND($P$18&lt;&gt;"",COUNTIF($C$32:$C57,$P$18)&gt;=2),1,0)+IF(AND($P$19&lt;&gt;"",COUNTIF($C$32:$C57,$P$19)&gt;=2),1,0)+IF(AND($P$20&lt;&gt;"",COUNTIF($C$32:$C57,$P$20)&gt;=2),1,0)+IF(AND($P$21&lt;&gt;"",COUNTIF($C$32:$C57,$P$21)&gt;=2),1,0)+IF(AND($P$22&lt;&gt;"",COUNTIF($C$32:$C57,$P$22)&gt;=2),1,0)+IF(AND($P$23&lt;&gt;"",COUNTIF($C$32:$C57,$P$23)&gt;=2),1,0)+IF(AND($P$24&lt;&gt;"",COUNTIF($C$32:$C57,$P$24)&gt;=2),1,0)+IF(AND($P$25&lt;&gt;"",COUNTIF($C$32:$C57,$P$25)&gt;=2),1,0)+IF(AND($P$26&lt;&gt;"",COUNTIF($C$32:$C57,$P$26)&gt;=2),1,0)+IF(AND($P$27&lt;&gt;"",COUNTIF($C$32:$C57,$P$27)&gt;=2),1,0)+IF(AND($P$28&lt;&gt;"",COUNTIF($C$32:$C57,$P$28)&gt;=2),1,0)+IF(AND($P$29&lt;&gt;"",COUNTIF($C$32:$C57,$P$29)&gt;=2),1,0)+IF(AND($P$30&lt;&gt;"",COUNTIF($C$32:$C57,$P$30)&gt;=2),1,0))&gt;=7,TRUE))</f>
        <v>1</v>
      </c>
      <c r="V58" s="20" t="str">
        <f t="shared" si="31"/>
        <v/>
      </c>
      <c r="W58" s="20" t="str">
        <f t="shared" si="31"/>
        <v/>
      </c>
      <c r="X58" s="20" t="str">
        <f t="shared" si="31"/>
        <v/>
      </c>
      <c r="Y58" s="20" t="str">
        <f t="shared" si="31"/>
        <v/>
      </c>
      <c r="Z58" s="20" t="str">
        <f t="shared" si="31"/>
        <v/>
      </c>
      <c r="AA58" s="20" t="str">
        <f t="shared" si="31"/>
        <v/>
      </c>
      <c r="AB58" s="20" t="str">
        <f t="shared" si="31"/>
        <v/>
      </c>
      <c r="AC58" s="20" t="str">
        <f t="shared" si="31"/>
        <v/>
      </c>
      <c r="AD58" s="20" t="str">
        <f t="shared" si="31"/>
        <v/>
      </c>
      <c r="AE58" s="20" t="str">
        <f t="shared" si="31"/>
        <v/>
      </c>
      <c r="AF58" s="20" t="str">
        <f t="shared" si="31"/>
        <v/>
      </c>
      <c r="AG58" s="20" t="str">
        <f t="shared" si="31"/>
        <v/>
      </c>
      <c r="AH58" s="20" t="str">
        <f t="shared" si="31"/>
        <v/>
      </c>
      <c r="AI58" s="20" t="str">
        <f t="shared" si="17"/>
        <v/>
      </c>
      <c r="AJ58" s="20" t="str">
        <f t="shared" si="18"/>
        <v/>
      </c>
      <c r="AK58" s="20" t="str">
        <f t="shared" si="19"/>
        <v/>
      </c>
      <c r="AL58" s="20" t="str">
        <f t="shared" si="20"/>
        <v/>
      </c>
      <c r="AM58" s="20" t="str">
        <f t="shared" si="21"/>
        <v/>
      </c>
      <c r="AN58" s="20" t="str">
        <f t="shared" si="22"/>
        <v/>
      </c>
      <c r="AO58" s="20" t="str">
        <f t="shared" si="23"/>
        <v/>
      </c>
      <c r="AP58" s="20" t="str">
        <f t="shared" si="24"/>
        <v/>
      </c>
      <c r="AQ58" s="20" t="str">
        <f t="shared" si="25"/>
        <v/>
      </c>
      <c r="AR58" s="20" t="str">
        <f t="shared" si="26"/>
        <v/>
      </c>
      <c r="AS58" s="20" t="str">
        <f t="shared" si="27"/>
        <v/>
      </c>
      <c r="AT58" s="20" t="str">
        <f t="shared" si="28"/>
        <v/>
      </c>
      <c r="AU58" s="20" t="str">
        <f t="shared" si="29"/>
        <v/>
      </c>
      <c r="AV58" s="20" t="b">
        <f>IF(AI58="",FALSE,AND(AI58&lt;&gt;$B58,AI58&lt;&gt;$C57,IFERROR(INDEX($E$18:$E$30,MATCH(AI58,$B$18:$B$30,0)),"No")="Yes",IF(AND(OR($B$3="Stage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Girls"))),$B$5&gt;20),MIN(3,MAX(2,Setup!$B$14)),2))*2),AI58=$E$5,IF(AND(OR($B$3="Stage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Girls"))),$B$5&gt;20),MIN(3,MAX(2,Setup!$B$14)),2))*2-1))),AI58=$E$4,TRUE)),COUNTIF($C$32:$C57,AI58)&lt;$B$6,IF($BI58,COUNTIF($C$32:$C57,AI58)&lt;IF($B$3="Stage 1",MIN($B$6,MAX(1,INT($B$5/$B$11))),IF(AND($B$3="Stage 3",$B$5=20,$B$11&gt;11),1,IF(AND($B$3="Stage 3",OR($B$15="Year 10-11-12 Girls"),$B$5&gt;20),MAX(2,Setup!$B$14),Setup!$B$14))),IF(AND($B$3&lt;&gt;"Stage 2",$B$3&lt;&gt;"Stage 3"),TRUE,IF($U58,TRUE,COUNTIF($C$32:$C57,AI58)&lt;IF(AND($B$3="Stage 2",$B$5=20,AI58=$E$5,$A58&lt;=IF($B$8="One Keeper",$B$5,$B$8)),2,IF(AND(OR($B$3="Stage 2",AND($B$3="Stage 3",OR($B$15="Year 10-11-12 Girls"))),AI58=$E$5,$A58&lt;=IF($B$8="One Keeper",$B$5,$B$8)),3,$B$9)))))))</f>
        <v>0</v>
      </c>
      <c r="AW58" s="20" t="b">
        <f>IF(AJ58="",FALSE,AND(AJ58&lt;&gt;$B58,AJ58&lt;&gt;$C57,IFERROR(INDEX($E$18:$E$30,MATCH(AJ58,$B$18:$B$30,0)),"No")="Yes",IF(AND(OR($B$3="Stage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Girls"))),$B$5&gt;20),MIN(3,MAX(2,Setup!$B$14)),2))*2),AJ58=$E$5,IF(AND(OR($B$3="Stage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Girls"))),$B$5&gt;20),MIN(3,MAX(2,Setup!$B$14)),2))*2-1))),AJ58=$E$4,TRUE)),COUNTIF($C$32:$C57,AJ58)&lt;$B$6,IF($BI58,COUNTIF($C$32:$C57,AJ58)&lt;IF($B$3="Stage 1",MIN($B$6,MAX(1,INT($B$5/$B$11))),IF(AND($B$3="Stage 3",$B$5=20,$B$11&gt;11),1,IF(AND($B$3="Stage 3",OR($B$15="Year 10-11-12 Girls"),$B$5&gt;20),MAX(2,Setup!$B$14),Setup!$B$14))),IF(AND($B$3&lt;&gt;"Stage 2",$B$3&lt;&gt;"Stage 3"),TRUE,IF($U58,TRUE,COUNTIF($C$32:$C57,AJ58)&lt;IF(AND($B$3="Stage 2",$B$5=20,AJ58=$E$5,$A58&lt;=IF($B$8="One Keeper",$B$5,$B$8)),2,IF(AND(OR($B$3="Stage 2",AND($B$3="Stage 3",OR($B$15="Year 10-11-12 Girls"))),AJ58=$E$5,$A58&lt;=IF($B$8="One Keeper",$B$5,$B$8)),3,$B$9)))))))</f>
        <v>0</v>
      </c>
      <c r="AX58" s="20" t="b">
        <f>IF(AK58="",FALSE,AND(AK58&lt;&gt;$B58,AK58&lt;&gt;$C57,IFERROR(INDEX($E$18:$E$30,MATCH(AK58,$B$18:$B$30,0)),"No")="Yes",IF(AND(OR($B$3="Stage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Girls"))),$B$5&gt;20),MIN(3,MAX(2,Setup!$B$14)),2))*2),AK58=$E$5,IF(AND(OR($B$3="Stage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Girls"))),$B$5&gt;20),MIN(3,MAX(2,Setup!$B$14)),2))*2-1))),AK58=$E$4,TRUE)),COUNTIF($C$32:$C57,AK58)&lt;$B$6,IF($BI58,COUNTIF($C$32:$C57,AK58)&lt;IF($B$3="Stage 1",MIN($B$6,MAX(1,INT($B$5/$B$11))),IF(AND($B$3="Stage 3",$B$5=20,$B$11&gt;11),1,IF(AND($B$3="Stage 3",OR($B$15="Year 10-11-12 Girls"),$B$5&gt;20),MAX(2,Setup!$B$14),Setup!$B$14))),IF(AND($B$3&lt;&gt;"Stage 2",$B$3&lt;&gt;"Stage 3"),TRUE,IF($U58,TRUE,COUNTIF($C$32:$C57,AK58)&lt;IF(AND($B$3="Stage 2",$B$5=20,AK58=$E$5,$A58&lt;=IF($B$8="One Keeper",$B$5,$B$8)),2,IF(AND(OR($B$3="Stage 2",AND($B$3="Stage 3",OR($B$15="Year 10-11-12 Girls"))),AK58=$E$5,$A58&lt;=IF($B$8="One Keeper",$B$5,$B$8)),3,$B$9)))))))</f>
        <v>0</v>
      </c>
      <c r="AY58" s="20" t="b">
        <f>IF(AL58="",FALSE,AND(AL58&lt;&gt;$B58,AL58&lt;&gt;$C57,IFERROR(INDEX($E$18:$E$30,MATCH(AL58,$B$18:$B$30,0)),"No")="Yes",IF(AND(OR($B$3="Stage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Girls"))),$B$5&gt;20),MIN(3,MAX(2,Setup!$B$14)),2))*2),AL58=$E$5,IF(AND(OR($B$3="Stage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Girls"))),$B$5&gt;20),MIN(3,MAX(2,Setup!$B$14)),2))*2-1))),AL58=$E$4,TRUE)),COUNTIF($C$32:$C57,AL58)&lt;$B$6,IF($BI58,COUNTIF($C$32:$C57,AL58)&lt;IF($B$3="Stage 1",MIN($B$6,MAX(1,INT($B$5/$B$11))),IF(AND($B$3="Stage 3",$B$5=20,$B$11&gt;11),1,IF(AND($B$3="Stage 3",OR($B$15="Year 10-11-12 Girls"),$B$5&gt;20),MAX(2,Setup!$B$14),Setup!$B$14))),IF(AND($B$3&lt;&gt;"Stage 2",$B$3&lt;&gt;"Stage 3"),TRUE,IF($U58,TRUE,COUNTIF($C$32:$C57,AL58)&lt;IF(AND($B$3="Stage 2",$B$5=20,AL58=$E$5,$A58&lt;=IF($B$8="One Keeper",$B$5,$B$8)),2,IF(AND(OR($B$3="Stage 2",AND($B$3="Stage 3",OR($B$15="Year 10-11-12 Girls"))),AL58=$E$5,$A58&lt;=IF($B$8="One Keeper",$B$5,$B$8)),3,$B$9)))))))</f>
        <v>0</v>
      </c>
      <c r="AZ58" s="20" t="b">
        <f>IF(AM58="",FALSE,AND(AM58&lt;&gt;$B58,AM58&lt;&gt;$C57,IFERROR(INDEX($E$18:$E$30,MATCH(AM58,$B$18:$B$30,0)),"No")="Yes",IF(AND(OR($B$3="Stage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Girls"))),$B$5&gt;20),MIN(3,MAX(2,Setup!$B$14)),2))*2),AM58=$E$5,IF(AND(OR($B$3="Stage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Girls"))),$B$5&gt;20),MIN(3,MAX(2,Setup!$B$14)),2))*2-1))),AM58=$E$4,TRUE)),COUNTIF($C$32:$C57,AM58)&lt;$B$6,IF($BI58,COUNTIF($C$32:$C57,AM58)&lt;IF($B$3="Stage 1",MIN($B$6,MAX(1,INT($B$5/$B$11))),IF(AND($B$3="Stage 3",$B$5=20,$B$11&gt;11),1,IF(AND($B$3="Stage 3",OR($B$15="Year 10-11-12 Girls"),$B$5&gt;20),MAX(2,Setup!$B$14),Setup!$B$14))),IF(AND($B$3&lt;&gt;"Stage 2",$B$3&lt;&gt;"Stage 3"),TRUE,IF($U58,TRUE,COUNTIF($C$32:$C57,AM58)&lt;IF(AND($B$3="Stage 2",$B$5=20,AM58=$E$5,$A58&lt;=IF($B$8="One Keeper",$B$5,$B$8)),2,IF(AND(OR($B$3="Stage 2",AND($B$3="Stage 3",OR($B$15="Year 10-11-12 Girls"))),AM58=$E$5,$A58&lt;=IF($B$8="One Keeper",$B$5,$B$8)),3,$B$9)))))))</f>
        <v>0</v>
      </c>
      <c r="BA58" s="20" t="b">
        <f>IF(AN58="",FALSE,AND(AN58&lt;&gt;$B58,AN58&lt;&gt;$C57,IFERROR(INDEX($E$18:$E$30,MATCH(AN58,$B$18:$B$30,0)),"No")="Yes",IF(AND(OR($B$3="Stage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Girls"))),$B$5&gt;20),MIN(3,MAX(2,Setup!$B$14)),2))*2),AN58=$E$5,IF(AND(OR($B$3="Stage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Girls"))),$B$5&gt;20),MIN(3,MAX(2,Setup!$B$14)),2))*2-1))),AN58=$E$4,TRUE)),COUNTIF($C$32:$C57,AN58)&lt;$B$6,IF($BI58,COUNTIF($C$32:$C57,AN58)&lt;IF($B$3="Stage 1",MIN($B$6,MAX(1,INT($B$5/$B$11))),IF(AND($B$3="Stage 3",$B$5=20,$B$11&gt;11),1,IF(AND($B$3="Stage 3",OR($B$15="Year 10-11-12 Girls"),$B$5&gt;20),MAX(2,Setup!$B$14),Setup!$B$14))),IF(AND($B$3&lt;&gt;"Stage 2",$B$3&lt;&gt;"Stage 3"),TRUE,IF($U58,TRUE,COUNTIF($C$32:$C57,AN58)&lt;IF(AND($B$3="Stage 2",$B$5=20,AN58=$E$5,$A58&lt;=IF($B$8="One Keeper",$B$5,$B$8)),2,IF(AND(OR($B$3="Stage 2",AND($B$3="Stage 3",OR($B$15="Year 10-11-12 Girls"))),AN58=$E$5,$A58&lt;=IF($B$8="One Keeper",$B$5,$B$8)),3,$B$9)))))))</f>
        <v>0</v>
      </c>
      <c r="BB58" s="20" t="b">
        <f>IF(AO58="",FALSE,AND(AO58&lt;&gt;$B58,AO58&lt;&gt;$C57,IFERROR(INDEX($E$18:$E$30,MATCH(AO58,$B$18:$B$30,0)),"No")="Yes",IF(AND(OR($B$3="Stage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Girls"))),$B$5&gt;20),MIN(3,MAX(2,Setup!$B$14)),2))*2),AO58=$E$5,IF(AND(OR($B$3="Stage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Girls"))),$B$5&gt;20),MIN(3,MAX(2,Setup!$B$14)),2))*2-1))),AO58=$E$4,TRUE)),COUNTIF($C$32:$C57,AO58)&lt;$B$6,IF($BI58,COUNTIF($C$32:$C57,AO58)&lt;IF($B$3="Stage 1",MIN($B$6,MAX(1,INT($B$5/$B$11))),IF(AND($B$3="Stage 3",$B$5=20,$B$11&gt;11),1,IF(AND($B$3="Stage 3",OR($B$15="Year 10-11-12 Girls"),$B$5&gt;20),MAX(2,Setup!$B$14),Setup!$B$14))),IF(AND($B$3&lt;&gt;"Stage 2",$B$3&lt;&gt;"Stage 3"),TRUE,IF($U58,TRUE,COUNTIF($C$32:$C57,AO58)&lt;IF(AND($B$3="Stage 2",$B$5=20,AO58=$E$5,$A58&lt;=IF($B$8="One Keeper",$B$5,$B$8)),2,IF(AND(OR($B$3="Stage 2",AND($B$3="Stage 3",OR($B$15="Year 10-11-12 Girls"))),AO58=$E$5,$A58&lt;=IF($B$8="One Keeper",$B$5,$B$8)),3,$B$9)))))))</f>
        <v>0</v>
      </c>
      <c r="BC58" s="20" t="b">
        <f>IF(AP58="",FALSE,AND(AP58&lt;&gt;$B58,AP58&lt;&gt;$C57,IFERROR(INDEX($E$18:$E$30,MATCH(AP58,$B$18:$B$30,0)),"No")="Yes",IF(AND(OR($B$3="Stage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Girls"))),$B$5&gt;20),MIN(3,MAX(2,Setup!$B$14)),2))*2),AP58=$E$5,IF(AND(OR($B$3="Stage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Girls"))),$B$5&gt;20),MIN(3,MAX(2,Setup!$B$14)),2))*2-1))),AP58=$E$4,TRUE)),COUNTIF($C$32:$C57,AP58)&lt;$B$6,IF($BI58,COUNTIF($C$32:$C57,AP58)&lt;IF($B$3="Stage 1",MIN($B$6,MAX(1,INT($B$5/$B$11))),IF(AND($B$3="Stage 3",$B$5=20,$B$11&gt;11),1,IF(AND($B$3="Stage 3",OR($B$15="Year 10-11-12 Girls"),$B$5&gt;20),MAX(2,Setup!$B$14),Setup!$B$14))),IF(AND($B$3&lt;&gt;"Stage 2",$B$3&lt;&gt;"Stage 3"),TRUE,IF($U58,TRUE,COUNTIF($C$32:$C57,AP58)&lt;IF(AND($B$3="Stage 2",$B$5=20,AP58=$E$5,$A58&lt;=IF($B$8="One Keeper",$B$5,$B$8)),2,IF(AND(OR($B$3="Stage 2",AND($B$3="Stage 3",OR($B$15="Year 10-11-12 Girls"))),AP58=$E$5,$A58&lt;=IF($B$8="One Keeper",$B$5,$B$8)),3,$B$9)))))))</f>
        <v>0</v>
      </c>
      <c r="BD58" s="20" t="b">
        <f>IF(AQ58="",FALSE,AND(AQ58&lt;&gt;$B58,AQ58&lt;&gt;$C57,IFERROR(INDEX($E$18:$E$30,MATCH(AQ58,$B$18:$B$30,0)),"No")="Yes",IF(AND(OR($B$3="Stage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Girls"))),$B$5&gt;20),MIN(3,MAX(2,Setup!$B$14)),2))*2),AQ58=$E$5,IF(AND(OR($B$3="Stage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Girls"))),$B$5&gt;20),MIN(3,MAX(2,Setup!$B$14)),2))*2-1))),AQ58=$E$4,TRUE)),COUNTIF($C$32:$C57,AQ58)&lt;$B$6,IF($BI58,COUNTIF($C$32:$C57,AQ58)&lt;IF($B$3="Stage 1",MIN($B$6,MAX(1,INT($B$5/$B$11))),IF(AND($B$3="Stage 3",$B$5=20,$B$11&gt;11),1,IF(AND($B$3="Stage 3",OR($B$15="Year 10-11-12 Girls"),$B$5&gt;20),MAX(2,Setup!$B$14),Setup!$B$14))),IF(AND($B$3&lt;&gt;"Stage 2",$B$3&lt;&gt;"Stage 3"),TRUE,IF($U58,TRUE,COUNTIF($C$32:$C57,AQ58)&lt;IF(AND($B$3="Stage 2",$B$5=20,AQ58=$E$5,$A58&lt;=IF($B$8="One Keeper",$B$5,$B$8)),2,IF(AND(OR($B$3="Stage 2",AND($B$3="Stage 3",OR($B$15="Year 10-11-12 Girls"))),AQ58=$E$5,$A58&lt;=IF($B$8="One Keeper",$B$5,$B$8)),3,$B$9)))))))</f>
        <v>0</v>
      </c>
      <c r="BE58" s="20" t="b">
        <f>IF(AR58="",FALSE,AND(AR58&lt;&gt;$B58,AR58&lt;&gt;$C57,IFERROR(INDEX($E$18:$E$30,MATCH(AR58,$B$18:$B$30,0)),"No")="Yes",IF(AND(OR($B$3="Stage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Girls"))),$B$5&gt;20),MIN(3,MAX(2,Setup!$B$14)),2))*2),AR58=$E$5,IF(AND(OR($B$3="Stage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Girls"))),$B$5&gt;20),MIN(3,MAX(2,Setup!$B$14)),2))*2-1))),AR58=$E$4,TRUE)),COUNTIF($C$32:$C57,AR58)&lt;$B$6,IF($BI58,COUNTIF($C$32:$C57,AR58)&lt;IF($B$3="Stage 1",MIN($B$6,MAX(1,INT($B$5/$B$11))),IF(AND($B$3="Stage 3",$B$5=20,$B$11&gt;11),1,IF(AND($B$3="Stage 3",OR($B$15="Year 10-11-12 Girls"),$B$5&gt;20),MAX(2,Setup!$B$14),Setup!$B$14))),IF(AND($B$3&lt;&gt;"Stage 2",$B$3&lt;&gt;"Stage 3"),TRUE,IF($U58,TRUE,COUNTIF($C$32:$C57,AR58)&lt;IF(AND($B$3="Stage 2",$B$5=20,AR58=$E$5,$A58&lt;=IF($B$8="One Keeper",$B$5,$B$8)),2,IF(AND(OR($B$3="Stage 2",AND($B$3="Stage 3",OR($B$15="Year 10-11-12 Girls"))),AR58=$E$5,$A58&lt;=IF($B$8="One Keeper",$B$5,$B$8)),3,$B$9)))))))</f>
        <v>0</v>
      </c>
      <c r="BF58" s="20" t="b">
        <f>IF(AS58="",FALSE,AND(AS58&lt;&gt;$B58,AS58&lt;&gt;$C57,IFERROR(INDEX($E$18:$E$30,MATCH(AS58,$B$18:$B$30,0)),"No")="Yes",IF(AND(OR($B$3="Stage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Girls"))),$B$5&gt;20),MIN(3,MAX(2,Setup!$B$14)),2))*2),AS58=$E$5,IF(AND(OR($B$3="Stage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Girls"))),$B$5&gt;20),MIN(3,MAX(2,Setup!$B$14)),2))*2-1))),AS58=$E$4,TRUE)),COUNTIF($C$32:$C57,AS58)&lt;$B$6,IF($BI58,COUNTIF($C$32:$C57,AS58)&lt;IF($B$3="Stage 1",MIN($B$6,MAX(1,INT($B$5/$B$11))),IF(AND($B$3="Stage 3",$B$5=20,$B$11&gt;11),1,IF(AND($B$3="Stage 3",OR($B$15="Year 10-11-12 Girls"),$B$5&gt;20),MAX(2,Setup!$B$14),Setup!$B$14))),IF(AND($B$3&lt;&gt;"Stage 2",$B$3&lt;&gt;"Stage 3"),TRUE,IF($U58,TRUE,COUNTIF($C$32:$C57,AS58)&lt;IF(AND($B$3="Stage 2",$B$5=20,AS58=$E$5,$A58&lt;=IF($B$8="One Keeper",$B$5,$B$8)),2,IF(AND(OR($B$3="Stage 2",AND($B$3="Stage 3",OR($B$15="Year 10-11-12 Girls"))),AS58=$E$5,$A58&lt;=IF($B$8="One Keeper",$B$5,$B$8)),3,$B$9)))))))</f>
        <v>0</v>
      </c>
      <c r="BG58" s="20" t="b">
        <f>IF(AT58="",FALSE,AND(AT58&lt;&gt;$B58,AT58&lt;&gt;$C57,IFERROR(INDEX($E$18:$E$30,MATCH(AT58,$B$18:$B$30,0)),"No")="Yes",IF(AND(OR($B$3="Stage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Girls"))),$B$5&gt;20),MIN(3,MAX(2,Setup!$B$14)),2))*2),AT58=$E$5,IF(AND(OR($B$3="Stage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Girls"))),$B$5&gt;20),MIN(3,MAX(2,Setup!$B$14)),2))*2-1))),AT58=$E$4,TRUE)),COUNTIF($C$32:$C57,AT58)&lt;$B$6,IF($BI58,COUNTIF($C$32:$C57,AT58)&lt;IF($B$3="Stage 1",MIN($B$6,MAX(1,INT($B$5/$B$11))),IF(AND($B$3="Stage 3",$B$5=20,$B$11&gt;11),1,IF(AND($B$3="Stage 3",OR($B$15="Year 10-11-12 Girls"),$B$5&gt;20),MAX(2,Setup!$B$14),Setup!$B$14))),IF(AND($B$3&lt;&gt;"Stage 2",$B$3&lt;&gt;"Stage 3"),TRUE,IF($U58,TRUE,COUNTIF($C$32:$C57,AT58)&lt;IF(AND($B$3="Stage 2",$B$5=20,AT58=$E$5,$A58&lt;=IF($B$8="One Keeper",$B$5,$B$8)),2,IF(AND(OR($B$3="Stage 2",AND($B$3="Stage 3",OR($B$15="Year 10-11-12 Girls"))),AT58=$E$5,$A58&lt;=IF($B$8="One Keeper",$B$5,$B$8)),3,$B$9)))))))</f>
        <v>0</v>
      </c>
      <c r="BH58" s="20" t="b">
        <f>IF(AU58="",FALSE,AND(AU58&lt;&gt;$B58,AU58&lt;&gt;$C57,IFERROR(INDEX($E$18:$E$30,MATCH(AU58,$B$18:$B$30,0)),"No")="Yes",IF(AND(OR($B$3="Stage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Girls"))),$B$5&gt;20),MIN(3,MAX(2,Setup!$B$14)),2))*2),AU58=$E$5,IF(AND(OR($B$3="Stage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Girls"))),$B$5&gt;20),MIN(3,MAX(2,Setup!$B$14)),2))*2-1))),AU58=$E$4,TRUE)),COUNTIF($C$32:$C57,AU58)&lt;$B$6,IF($BI58,COUNTIF($C$32:$C57,AU58)&lt;IF($B$3="Stage 1",MIN($B$6,MAX(1,INT($B$5/$B$11))),IF(AND($B$3="Stage 3",$B$5=20,$B$11&gt;11),1,IF(AND($B$3="Stage 3",OR($B$15="Year 10-11-12 Girls"),$B$5&gt;20),MAX(2,Setup!$B$14),Setup!$B$14))),IF(AND($B$3&lt;&gt;"Stage 2",$B$3&lt;&gt;"Stage 3"),TRUE,IF($U58,TRUE,COUNTIF($C$32:$C57,AU58)&lt;IF(AND($B$3="Stage 2",$B$5=20,AU58=$E$5,$A58&lt;=IF($B$8="One Keeper",$B$5,$B$8)),2,IF(AND(OR($B$3="Stage 2",AND($B$3="Stage 3",OR($B$15="Year 10-11-12 Girls"))),AU58=$E$5,$A58&lt;=IF($B$8="One Keeper",$B$5,$B$8)),3,$B$9)))))))</f>
        <v>0</v>
      </c>
      <c r="BI58"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Keeper",$E$4&lt;&gt;$E$5,$A58&lt;=IF($B$8="One Keeper",$B$5,$B$8),COUNTIF($C$32:$C57,$E$5)&lt;IF(AND($B$3="Stage 3",$B$5=20,$B$11&gt;11),1,IF(AND(OR($B$3="Stage 2",AND($B$3="Stage 3",OR($B$15="Year 10-11-12 Girls"))),$B$5&gt;20),MIN(3,MAX(2,Setup!$B$14)),2)),IFERROR(INDEX($E$18:$E$30,MATCH($E$5,$B$18:$B$30,0)),"No")="Yes",$C57&lt;&gt;$E$5,MOD($A58,2)=0,$A58&lt;=IF(AND($B$3="Stage 3",$B$5=20,$B$11&gt;11),1,IF(AND(OR($B$3="Stage 2",AND($B$3="Stage 3",OR($B$15="Year 10-11-12 Girls"))),$B$5&gt;20),MIN(3,MAX(2,Setup!$B$14)),2))*2),AND(OR($B$3="Stage 1",$B$3="Stage 2",AND($B$3="Stage 3",OR(OR($B$15="Year 10-11-12 Girls"),OR($B$15="Year 8 Boys",$B$15="Year 9 Boys",$B$15="Year 10-11 Boys")))),$B$8&lt;&gt;"One Keeper",$E$4&lt;&gt;$E$5,$A58&gt;IF($B$8="One Keeper",$B$5,$B$8),COUNTIF($C$32:$C57,$E$4)&lt;IF(AND($B$3="Stage 3",$B$5=20,$B$11&gt;11),1,IF(AND(OR($B$3="Stage 2",AND($B$3="Stage 3",OR($B$15="Year 10-11-12 Girls"))),$B$5&gt;20),MIN(3,MAX(2,Setup!$B$14)),2)),IFERROR(INDEX($E$18:$E$30,MATCH($E$4,$B$18:$B$30,0)),"No")="Yes",$C57&lt;&gt;$E$4,IF($B$7="Three-over spell",AND(MOD($A58-IF($B$8="One Keeper",$B$5,$B$8)-1,3)=0,($A58-IF($B$8="One Keeper",$B$5,$B$8))&lt;=1+(IF(AND($B$3="Stage 3",$B$5=20,$B$11&gt;11),1,IF(AND(OR($B$3="Stage 2",AND($B$3="Stage 3",OR($B$15="Year 10-11-12 Girls"))),$B$5&gt;20),MIN(3,MAX(2,Setup!$B$14)),2))-1)*3),AND(MOD($A58-IF($B$8="One Keeper",$B$5,$B$8),2)=1,($A58-IF($B$8="One Keeper",$B$5,$B$8))&lt;=IF(AND($B$3="Stage 3",$B$5=20,$B$11&gt;11),1,IF(AND(OR($B$3="Stage 2",AND($B$3="Stage 3",OR($B$15="Year 10-11-12 Girls"))),$B$5&gt;20),MIN(3,MAX(2,Setup!$B$14)),2))*2-1))))),OR($U58,AND($B$3="Stage 3",$B$5=20,$B$11&gt;11)),OR($BJ58,$BK58,$BL58,$BM58,$BN58,$BO58,$BP58,$BQ58,$BR58,$BS58,$BT58,$BU58,$BV58))</f>
        <v>0</v>
      </c>
      <c r="BJ58" s="20" t="b">
        <f>IF(AI58="",FALSE,AND(AI58&lt;&gt;IF(AND($B$3="Stage 3",OR($B$15="Year 8 Boys",$B$15="Year 9 Boys",$B$15="Year 10-11 Boys"),$B$8="One Keeper"),$E$4,""),AI58&lt;&gt;$B58,AI58&lt;&gt;$C57,IFERROR(INDEX($E$18:$E$30,MATCH(AI58,$B$18:$B$30,0)),"No")="Yes",COUNTIF($C$32:$C57,AI58)&lt;$B$6,COUNTIF($C$32:$C57,AI58)&lt;IF($B$3="Stage 1",MIN($B$6,MAX(1,INT($B$5/$B$11))),IF(AND($B$3="Stage 3",$B$5=20,$B$11&gt;11),1,IF(AND($B$3="Stage 3",OR($B$15="Year 10-11-12 Girls"),$B$5&gt;20),MAX(2,Setup!$B$14),Setup!$B$14)))))</f>
        <v>0</v>
      </c>
      <c r="BK58" s="20" t="b">
        <f>IF(AJ58="",FALSE,AND(AJ58&lt;&gt;IF(AND($B$3="Stage 3",OR($B$15="Year 8 Boys",$B$15="Year 9 Boys",$B$15="Year 10-11 Boys"),$B$8="One Keeper"),$E$4,""),AJ58&lt;&gt;$B58,AJ58&lt;&gt;$C57,IFERROR(INDEX($E$18:$E$30,MATCH(AJ58,$B$18:$B$30,0)),"No")="Yes",COUNTIF($C$32:$C57,AJ58)&lt;$B$6,COUNTIF($C$32:$C57,AJ58)&lt;IF($B$3="Stage 1",MIN($B$6,MAX(1,INT($B$5/$B$11))),IF(AND($B$3="Stage 3",$B$5=20,$B$11&gt;11),1,IF(AND($B$3="Stage 3",OR($B$15="Year 10-11-12 Girls"),$B$5&gt;20),MAX(2,Setup!$B$14),Setup!$B$14)))))</f>
        <v>0</v>
      </c>
      <c r="BL58" s="20" t="b">
        <f>IF(AK58="",FALSE,AND(AK58&lt;&gt;IF(AND($B$3="Stage 3",OR($B$15="Year 8 Boys",$B$15="Year 9 Boys",$B$15="Year 10-11 Boys"),$B$8="One Keeper"),$E$4,""),AK58&lt;&gt;$B58,AK58&lt;&gt;$C57,IFERROR(INDEX($E$18:$E$30,MATCH(AK58,$B$18:$B$30,0)),"No")="Yes",COUNTIF($C$32:$C57,AK58)&lt;$B$6,COUNTIF($C$32:$C57,AK58)&lt;IF($B$3="Stage 1",MIN($B$6,MAX(1,INT($B$5/$B$11))),IF(AND($B$3="Stage 3",$B$5=20,$B$11&gt;11),1,IF(AND($B$3="Stage 3",OR($B$15="Year 10-11-12 Girls"),$B$5&gt;20),MAX(2,Setup!$B$14),Setup!$B$14)))))</f>
        <v>0</v>
      </c>
      <c r="BM58" s="20" t="b">
        <f>IF(AL58="",FALSE,AND(AL58&lt;&gt;IF(AND($B$3="Stage 3",OR($B$15="Year 8 Boys",$B$15="Year 9 Boys",$B$15="Year 10-11 Boys"),$B$8="One Keeper"),$E$4,""),AL58&lt;&gt;$B58,AL58&lt;&gt;$C57,IFERROR(INDEX($E$18:$E$30,MATCH(AL58,$B$18:$B$30,0)),"No")="Yes",COUNTIF($C$32:$C57,AL58)&lt;$B$6,COUNTIF($C$32:$C57,AL58)&lt;IF($B$3="Stage 1",MIN($B$6,MAX(1,INT($B$5/$B$11))),IF(AND($B$3="Stage 3",$B$5=20,$B$11&gt;11),1,IF(AND($B$3="Stage 3",OR($B$15="Year 10-11-12 Girls"),$B$5&gt;20),MAX(2,Setup!$B$14),Setup!$B$14)))))</f>
        <v>0</v>
      </c>
      <c r="BN58" s="20" t="b">
        <f>IF(AM58="",FALSE,AND(AM58&lt;&gt;IF(AND($B$3="Stage 3",OR($B$15="Year 8 Boys",$B$15="Year 9 Boys",$B$15="Year 10-11 Boys"),$B$8="One Keeper"),$E$4,""),AM58&lt;&gt;$B58,AM58&lt;&gt;$C57,IFERROR(INDEX($E$18:$E$30,MATCH(AM58,$B$18:$B$30,0)),"No")="Yes",COUNTIF($C$32:$C57,AM58)&lt;$B$6,COUNTIF($C$32:$C57,AM58)&lt;IF($B$3="Stage 1",MIN($B$6,MAX(1,INT($B$5/$B$11))),IF(AND($B$3="Stage 3",$B$5=20,$B$11&gt;11),1,IF(AND($B$3="Stage 3",OR($B$15="Year 10-11-12 Girls"),$B$5&gt;20),MAX(2,Setup!$B$14),Setup!$B$14)))))</f>
        <v>0</v>
      </c>
      <c r="BO58" s="20" t="b">
        <f>IF(AN58="",FALSE,AND(AN58&lt;&gt;IF(AND($B$3="Stage 3",OR($B$15="Year 8 Boys",$B$15="Year 9 Boys",$B$15="Year 10-11 Boys"),$B$8="One Keeper"),$E$4,""),AN58&lt;&gt;$B58,AN58&lt;&gt;$C57,IFERROR(INDEX($E$18:$E$30,MATCH(AN58,$B$18:$B$30,0)),"No")="Yes",COUNTIF($C$32:$C57,AN58)&lt;$B$6,COUNTIF($C$32:$C57,AN58)&lt;IF($B$3="Stage 1",MIN($B$6,MAX(1,INT($B$5/$B$11))),IF(AND($B$3="Stage 3",$B$5=20,$B$11&gt;11),1,IF(AND($B$3="Stage 3",OR($B$15="Year 10-11-12 Girls"),$B$5&gt;20),MAX(2,Setup!$B$14),Setup!$B$14)))))</f>
        <v>0</v>
      </c>
      <c r="BP58" s="20" t="b">
        <f>IF(AO58="",FALSE,AND(AO58&lt;&gt;IF(AND($B$3="Stage 3",OR($B$15="Year 8 Boys",$B$15="Year 9 Boys",$B$15="Year 10-11 Boys"),$B$8="One Keeper"),$E$4,""),AO58&lt;&gt;$B58,AO58&lt;&gt;$C57,IFERROR(INDEX($E$18:$E$30,MATCH(AO58,$B$18:$B$30,0)),"No")="Yes",COUNTIF($C$32:$C57,AO58)&lt;$B$6,COUNTIF($C$32:$C57,AO58)&lt;IF($B$3="Stage 1",MIN($B$6,MAX(1,INT($B$5/$B$11))),IF(AND($B$3="Stage 3",$B$5=20,$B$11&gt;11),1,IF(AND($B$3="Stage 3",OR($B$15="Year 10-11-12 Girls"),$B$5&gt;20),MAX(2,Setup!$B$14),Setup!$B$14)))))</f>
        <v>0</v>
      </c>
      <c r="BQ58" s="20" t="b">
        <f>IF(AP58="",FALSE,AND(AP58&lt;&gt;IF(AND($B$3="Stage 3",OR($B$15="Year 8 Boys",$B$15="Year 9 Boys",$B$15="Year 10-11 Boys"),$B$8="One Keeper"),$E$4,""),AP58&lt;&gt;$B58,AP58&lt;&gt;$C57,IFERROR(INDEX($E$18:$E$30,MATCH(AP58,$B$18:$B$30,0)),"No")="Yes",COUNTIF($C$32:$C57,AP58)&lt;$B$6,COUNTIF($C$32:$C57,AP58)&lt;IF($B$3="Stage 1",MIN($B$6,MAX(1,INT($B$5/$B$11))),IF(AND($B$3="Stage 3",$B$5=20,$B$11&gt;11),1,IF(AND($B$3="Stage 3",OR($B$15="Year 10-11-12 Girls"),$B$5&gt;20),MAX(2,Setup!$B$14),Setup!$B$14)))))</f>
        <v>0</v>
      </c>
      <c r="BR58" s="20" t="b">
        <f>IF(AQ58="",FALSE,AND(AQ58&lt;&gt;IF(AND($B$3="Stage 3",OR($B$15="Year 8 Boys",$B$15="Year 9 Boys",$B$15="Year 10-11 Boys"),$B$8="One Keeper"),$E$4,""),AQ58&lt;&gt;$B58,AQ58&lt;&gt;$C57,IFERROR(INDEX($E$18:$E$30,MATCH(AQ58,$B$18:$B$30,0)),"No")="Yes",COUNTIF($C$32:$C57,AQ58)&lt;$B$6,COUNTIF($C$32:$C57,AQ58)&lt;IF($B$3="Stage 1",MIN($B$6,MAX(1,INT($B$5/$B$11))),IF(AND($B$3="Stage 3",$B$5=20,$B$11&gt;11),1,IF(AND($B$3="Stage 3",OR($B$15="Year 10-11-12 Girls"),$B$5&gt;20),MAX(2,Setup!$B$14),Setup!$B$14)))))</f>
        <v>0</v>
      </c>
      <c r="BS58" s="20" t="b">
        <f>IF(AR58="",FALSE,AND(AR58&lt;&gt;IF(AND($B$3="Stage 3",OR($B$15="Year 8 Boys",$B$15="Year 9 Boys",$B$15="Year 10-11 Boys"),$B$8="One Keeper"),$E$4,""),AR58&lt;&gt;$B58,AR58&lt;&gt;$C57,IFERROR(INDEX($E$18:$E$30,MATCH(AR58,$B$18:$B$30,0)),"No")="Yes",COUNTIF($C$32:$C57,AR58)&lt;$B$6,COUNTIF($C$32:$C57,AR58)&lt;IF($B$3="Stage 1",MIN($B$6,MAX(1,INT($B$5/$B$11))),IF(AND($B$3="Stage 3",$B$5=20,$B$11&gt;11),1,IF(AND($B$3="Stage 3",OR($B$15="Year 10-11-12 Girls"),$B$5&gt;20),MAX(2,Setup!$B$14),Setup!$B$14)))))</f>
        <v>0</v>
      </c>
      <c r="BT58" s="20" t="b">
        <f>IF(AS58="",FALSE,AND(AS58&lt;&gt;IF(AND($B$3="Stage 3",OR($B$15="Year 8 Boys",$B$15="Year 9 Boys",$B$15="Year 10-11 Boys"),$B$8="One Keeper"),$E$4,""),AS58&lt;&gt;$B58,AS58&lt;&gt;$C57,IFERROR(INDEX($E$18:$E$30,MATCH(AS58,$B$18:$B$30,0)),"No")="Yes",COUNTIF($C$32:$C57,AS58)&lt;$B$6,COUNTIF($C$32:$C57,AS58)&lt;IF($B$3="Stage 1",MIN($B$6,MAX(1,INT($B$5/$B$11))),IF(AND($B$3="Stage 3",$B$5=20,$B$11&gt;11),1,IF(AND($B$3="Stage 3",OR($B$15="Year 10-11-12 Girls"),$B$5&gt;20),MAX(2,Setup!$B$14),Setup!$B$14)))))</f>
        <v>0</v>
      </c>
      <c r="BU58" s="20" t="b">
        <f>IF(AT58="",FALSE,AND(AT58&lt;&gt;IF(AND($B$3="Stage 3",OR($B$15="Year 8 Boys",$B$15="Year 9 Boys",$B$15="Year 10-11 Boys"),$B$8="One Keeper"),$E$4,""),AT58&lt;&gt;$B58,AT58&lt;&gt;$C57,IFERROR(INDEX($E$18:$E$30,MATCH(AT58,$B$18:$B$30,0)),"No")="Yes",COUNTIF($C$32:$C57,AT58)&lt;$B$6,COUNTIF($C$32:$C57,AT58)&lt;IF($B$3="Stage 1",MIN($B$6,MAX(1,INT($B$5/$B$11))),IF(AND($B$3="Stage 3",$B$5=20,$B$11&gt;11),1,IF(AND($B$3="Stage 3",OR($B$15="Year 10-11-12 Girls"),$B$5&gt;20),MAX(2,Setup!$B$14),Setup!$B$14)))))</f>
        <v>0</v>
      </c>
      <c r="BV58" s="20" t="b">
        <f>IF(AU58="",FALSE,AND(AU58&lt;&gt;IF(AND($B$3="Stage 3",OR($B$15="Year 8 Boys",$B$15="Year 9 Boys",$B$15="Year 10-11 Boys"),$B$8="One Keeper"),$E$4,""),AU58&lt;&gt;$B58,AU58&lt;&gt;$C57,IFERROR(INDEX($E$18:$E$30,MATCH(AU58,$B$18:$B$30,0)),"No")="Yes",COUNTIF($C$32:$C57,AU58)&lt;$B$6,COUNTIF($C$32:$C57,AU58)&lt;IF($B$3="Stage 1",MIN($B$6,MAX(1,INT($B$5/$B$11))),IF(AND($B$3="Stage 3",$B$5=20,$B$11&gt;11),1,IF(AND($B$3="Stage 3",OR($B$15="Year 10-11-12 Girls"),$B$5&gt;20),MAX(2,Setup!$B$14),Setup!$B$14)))))</f>
        <v>0</v>
      </c>
      <c r="BW58" s="20"/>
      <c r="BX58" s="20"/>
      <c r="BY58" s="20"/>
      <c r="BZ58" s="20"/>
      <c r="CA58" s="20"/>
      <c r="CB58" s="20"/>
      <c r="CC58" s="20"/>
      <c r="CD58" s="20"/>
      <c r="CE58" s="20"/>
      <c r="CF58" s="20"/>
      <c r="CG58" s="20"/>
      <c r="CH58" s="20"/>
      <c r="CI58" s="20"/>
      <c r="CJ58" s="20"/>
      <c r="CK58" s="20"/>
    </row>
    <row r="59" spans="1:89" ht="15" customHeight="1">
      <c r="A59" s="18">
        <v>28</v>
      </c>
      <c r="B59" s="18" t="str">
        <f t="shared" si="5"/>
        <v/>
      </c>
      <c r="C59" s="18" t="str">
        <f t="shared" si="6"/>
        <v/>
      </c>
      <c r="D59" s="18">
        <f t="shared" si="7"/>
        <v>8</v>
      </c>
      <c r="E59" s="18" t="str">
        <f>IF($C59="","",COUNTIF($C$32:C59,$C59))</f>
        <v/>
      </c>
      <c r="F59" s="18" t="str">
        <f t="shared" si="8"/>
        <v/>
      </c>
      <c r="T59" s="20" t="str">
        <f t="shared" si="15"/>
        <v/>
      </c>
      <c r="U59" s="20" t="b">
        <f>IF(OR($B$3="Stage 2",AND($B$3="Stage 3",OR($B$15="Year 10-11-12 Girls"))),(IF(AND($P$18&lt;&gt;"",$P$18&lt;&gt;$E$4,COUNTIF($C$32:$C58,$P$18)&gt;=2),1,0)+IF(AND($P$19&lt;&gt;"",$P$19&lt;&gt;$E$4,COUNTIF($C$32:$C58,$P$19)&gt;=2),1,0)+IF(AND($P$20&lt;&gt;"",$P$20&lt;&gt;$E$4,COUNTIF($C$32:$C58,$P$20)&gt;=2),1,0)+IF(AND($P$21&lt;&gt;"",$P$21&lt;&gt;$E$4,COUNTIF($C$32:$C58,$P$21)&gt;=2),1,0)+IF(AND($P$22&lt;&gt;"",$P$22&lt;&gt;$E$4,COUNTIF($C$32:$C58,$P$22)&gt;=2),1,0)+IF(AND($P$23&lt;&gt;"",$P$23&lt;&gt;$E$4,COUNTIF($C$32:$C58,$P$23)&gt;=2),1,0)+IF(AND($P$24&lt;&gt;"",$P$24&lt;&gt;$E$4,COUNTIF($C$32:$C58,$P$24)&gt;=2),1,0)+IF(AND($P$25&lt;&gt;"",$P$25&lt;&gt;$E$4,COUNTIF($C$32:$C58,$P$25)&gt;=2),1,0)+IF(AND($P$26&lt;&gt;"",$P$26&lt;&gt;$E$4,COUNTIF($C$32:$C58,$P$26)&gt;=2),1,0)+IF(AND($P$27&lt;&gt;"",$P$27&lt;&gt;$E$4,COUNTIF($C$32:$C58,$P$27)&gt;=2),1,0)+IF(AND($P$28&lt;&gt;"",$P$28&lt;&gt;$E$4,COUNTIF($C$32:$C58,$P$28)&gt;=2),1,0)+IF(AND($P$29&lt;&gt;"",$P$29&lt;&gt;$E$4,COUNTIF($C$32:$C58,$P$29)&gt;=2),1,0)+IF(AND($P$30&lt;&gt;"",$P$30&lt;&gt;$E$4,COUNTIF($C$32:$C58,$P$30)&gt;=2),1,0))&gt;=MAX(0,$B$11-1),IF(AND($B$3="Stage 3",OR($B$15="Year 8 Boys",$B$15="Year 9 Boys",$B$15="Year 10-11 Boys")),(IF(AND($P$18&lt;&gt;"",COUNTIF($C$32:$C58,$P$18)&gt;=2),1,0)+IF(AND($P$19&lt;&gt;"",COUNTIF($C$32:$C58,$P$19)&gt;=2),1,0)+IF(AND($P$20&lt;&gt;"",COUNTIF($C$32:$C58,$P$20)&gt;=2),1,0)+IF(AND($P$21&lt;&gt;"",COUNTIF($C$32:$C58,$P$21)&gt;=2),1,0)+IF(AND($P$22&lt;&gt;"",COUNTIF($C$32:$C58,$P$22)&gt;=2),1,0)+IF(AND($P$23&lt;&gt;"",COUNTIF($C$32:$C58,$P$23)&gt;=2),1,0)+IF(AND($P$24&lt;&gt;"",COUNTIF($C$32:$C58,$P$24)&gt;=2),1,0)+IF(AND($P$25&lt;&gt;"",COUNTIF($C$32:$C58,$P$25)&gt;=2),1,0)+IF(AND($P$26&lt;&gt;"",COUNTIF($C$32:$C58,$P$26)&gt;=2),1,0)+IF(AND($P$27&lt;&gt;"",COUNTIF($C$32:$C58,$P$27)&gt;=2),1,0)+IF(AND($P$28&lt;&gt;"",COUNTIF($C$32:$C58,$P$28)&gt;=2),1,0)+IF(AND($P$29&lt;&gt;"",COUNTIF($C$32:$C58,$P$29)&gt;=2),1,0)+IF(AND($P$30&lt;&gt;"",COUNTIF($C$32:$C58,$P$30)&gt;=2),1,0))&gt;=7,TRUE))</f>
        <v>1</v>
      </c>
      <c r="V59" s="20" t="str">
        <f t="shared" si="31"/>
        <v/>
      </c>
      <c r="W59" s="20" t="str">
        <f t="shared" si="31"/>
        <v/>
      </c>
      <c r="X59" s="20" t="str">
        <f t="shared" si="31"/>
        <v/>
      </c>
      <c r="Y59" s="20" t="str">
        <f t="shared" si="31"/>
        <v/>
      </c>
      <c r="Z59" s="20" t="str">
        <f t="shared" si="31"/>
        <v/>
      </c>
      <c r="AA59" s="20" t="str">
        <f t="shared" si="31"/>
        <v/>
      </c>
      <c r="AB59" s="20" t="str">
        <f t="shared" si="31"/>
        <v/>
      </c>
      <c r="AC59" s="20" t="str">
        <f t="shared" si="31"/>
        <v/>
      </c>
      <c r="AD59" s="20" t="str">
        <f t="shared" si="31"/>
        <v/>
      </c>
      <c r="AE59" s="20" t="str">
        <f t="shared" si="31"/>
        <v/>
      </c>
      <c r="AF59" s="20" t="str">
        <f t="shared" si="31"/>
        <v/>
      </c>
      <c r="AG59" s="20" t="str">
        <f t="shared" si="31"/>
        <v/>
      </c>
      <c r="AH59" s="20" t="str">
        <f t="shared" si="31"/>
        <v/>
      </c>
      <c r="AI59" s="20" t="str">
        <f t="shared" si="17"/>
        <v/>
      </c>
      <c r="AJ59" s="20" t="str">
        <f t="shared" si="18"/>
        <v/>
      </c>
      <c r="AK59" s="20" t="str">
        <f t="shared" si="19"/>
        <v/>
      </c>
      <c r="AL59" s="20" t="str">
        <f t="shared" si="20"/>
        <v/>
      </c>
      <c r="AM59" s="20" t="str">
        <f t="shared" si="21"/>
        <v/>
      </c>
      <c r="AN59" s="20" t="str">
        <f t="shared" si="22"/>
        <v/>
      </c>
      <c r="AO59" s="20" t="str">
        <f t="shared" si="23"/>
        <v/>
      </c>
      <c r="AP59" s="20" t="str">
        <f t="shared" si="24"/>
        <v/>
      </c>
      <c r="AQ59" s="20" t="str">
        <f t="shared" si="25"/>
        <v/>
      </c>
      <c r="AR59" s="20" t="str">
        <f t="shared" si="26"/>
        <v/>
      </c>
      <c r="AS59" s="20" t="str">
        <f t="shared" si="27"/>
        <v/>
      </c>
      <c r="AT59" s="20" t="str">
        <f t="shared" si="28"/>
        <v/>
      </c>
      <c r="AU59" s="20" t="str">
        <f t="shared" si="29"/>
        <v/>
      </c>
      <c r="AV59" s="20" t="b">
        <f>IF(AI59="",FALSE,AND(AI59&lt;&gt;$B59,AI59&lt;&gt;$C58,IFERROR(INDEX($E$18:$E$30,MATCH(AI59,$B$18:$B$30,0)),"No")="Yes",IF(AND(OR($B$3="Stage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Girls"))),$B$5&gt;20),MIN(3,MAX(2,Setup!$B$14)),2))*2),AI59=$E$5,IF(AND(OR($B$3="Stage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Girls"))),$B$5&gt;20),MIN(3,MAX(2,Setup!$B$14)),2))*2-1))),AI59=$E$4,TRUE)),COUNTIF($C$32:$C58,AI59)&lt;$B$6,IF($BI59,COUNTIF($C$32:$C58,AI59)&lt;IF($B$3="Stage 1",MIN($B$6,MAX(1,INT($B$5/$B$11))),IF(AND($B$3="Stage 3",$B$5=20,$B$11&gt;11),1,IF(AND($B$3="Stage 3",OR($B$15="Year 10-11-12 Girls"),$B$5&gt;20),MAX(2,Setup!$B$14),Setup!$B$14))),IF(AND($B$3&lt;&gt;"Stage 2",$B$3&lt;&gt;"Stage 3"),TRUE,IF($U59,TRUE,COUNTIF($C$32:$C58,AI59)&lt;IF(AND($B$3="Stage 2",$B$5=20,AI59=$E$5,$A59&lt;=IF($B$8="One Keeper",$B$5,$B$8)),2,IF(AND(OR($B$3="Stage 2",AND($B$3="Stage 3",OR($B$15="Year 10-11-12 Girls"))),AI59=$E$5,$A59&lt;=IF($B$8="One Keeper",$B$5,$B$8)),3,$B$9)))))))</f>
        <v>0</v>
      </c>
      <c r="AW59" s="20" t="b">
        <f>IF(AJ59="",FALSE,AND(AJ59&lt;&gt;$B59,AJ59&lt;&gt;$C58,IFERROR(INDEX($E$18:$E$30,MATCH(AJ59,$B$18:$B$30,0)),"No")="Yes",IF(AND(OR($B$3="Stage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Girls"))),$B$5&gt;20),MIN(3,MAX(2,Setup!$B$14)),2))*2),AJ59=$E$5,IF(AND(OR($B$3="Stage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Girls"))),$B$5&gt;20),MIN(3,MAX(2,Setup!$B$14)),2))*2-1))),AJ59=$E$4,TRUE)),COUNTIF($C$32:$C58,AJ59)&lt;$B$6,IF($BI59,COUNTIF($C$32:$C58,AJ59)&lt;IF($B$3="Stage 1",MIN($B$6,MAX(1,INT($B$5/$B$11))),IF(AND($B$3="Stage 3",$B$5=20,$B$11&gt;11),1,IF(AND($B$3="Stage 3",OR($B$15="Year 10-11-12 Girls"),$B$5&gt;20),MAX(2,Setup!$B$14),Setup!$B$14))),IF(AND($B$3&lt;&gt;"Stage 2",$B$3&lt;&gt;"Stage 3"),TRUE,IF($U59,TRUE,COUNTIF($C$32:$C58,AJ59)&lt;IF(AND($B$3="Stage 2",$B$5=20,AJ59=$E$5,$A59&lt;=IF($B$8="One Keeper",$B$5,$B$8)),2,IF(AND(OR($B$3="Stage 2",AND($B$3="Stage 3",OR($B$15="Year 10-11-12 Girls"))),AJ59=$E$5,$A59&lt;=IF($B$8="One Keeper",$B$5,$B$8)),3,$B$9)))))))</f>
        <v>0</v>
      </c>
      <c r="AX59" s="20" t="b">
        <f>IF(AK59="",FALSE,AND(AK59&lt;&gt;$B59,AK59&lt;&gt;$C58,IFERROR(INDEX($E$18:$E$30,MATCH(AK59,$B$18:$B$30,0)),"No")="Yes",IF(AND(OR($B$3="Stage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Girls"))),$B$5&gt;20),MIN(3,MAX(2,Setup!$B$14)),2))*2),AK59=$E$5,IF(AND(OR($B$3="Stage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Girls"))),$B$5&gt;20),MIN(3,MAX(2,Setup!$B$14)),2))*2-1))),AK59=$E$4,TRUE)),COUNTIF($C$32:$C58,AK59)&lt;$B$6,IF($BI59,COUNTIF($C$32:$C58,AK59)&lt;IF($B$3="Stage 1",MIN($B$6,MAX(1,INT($B$5/$B$11))),IF(AND($B$3="Stage 3",$B$5=20,$B$11&gt;11),1,IF(AND($B$3="Stage 3",OR($B$15="Year 10-11-12 Girls"),$B$5&gt;20),MAX(2,Setup!$B$14),Setup!$B$14))),IF(AND($B$3&lt;&gt;"Stage 2",$B$3&lt;&gt;"Stage 3"),TRUE,IF($U59,TRUE,COUNTIF($C$32:$C58,AK59)&lt;IF(AND($B$3="Stage 2",$B$5=20,AK59=$E$5,$A59&lt;=IF($B$8="One Keeper",$B$5,$B$8)),2,IF(AND(OR($B$3="Stage 2",AND($B$3="Stage 3",OR($B$15="Year 10-11-12 Girls"))),AK59=$E$5,$A59&lt;=IF($B$8="One Keeper",$B$5,$B$8)),3,$B$9)))))))</f>
        <v>0</v>
      </c>
      <c r="AY59" s="20" t="b">
        <f>IF(AL59="",FALSE,AND(AL59&lt;&gt;$B59,AL59&lt;&gt;$C58,IFERROR(INDEX($E$18:$E$30,MATCH(AL59,$B$18:$B$30,0)),"No")="Yes",IF(AND(OR($B$3="Stage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Girls"))),$B$5&gt;20),MIN(3,MAX(2,Setup!$B$14)),2))*2),AL59=$E$5,IF(AND(OR($B$3="Stage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Girls"))),$B$5&gt;20),MIN(3,MAX(2,Setup!$B$14)),2))*2-1))),AL59=$E$4,TRUE)),COUNTIF($C$32:$C58,AL59)&lt;$B$6,IF($BI59,COUNTIF($C$32:$C58,AL59)&lt;IF($B$3="Stage 1",MIN($B$6,MAX(1,INT($B$5/$B$11))),IF(AND($B$3="Stage 3",$B$5=20,$B$11&gt;11),1,IF(AND($B$3="Stage 3",OR($B$15="Year 10-11-12 Girls"),$B$5&gt;20),MAX(2,Setup!$B$14),Setup!$B$14))),IF(AND($B$3&lt;&gt;"Stage 2",$B$3&lt;&gt;"Stage 3"),TRUE,IF($U59,TRUE,COUNTIF($C$32:$C58,AL59)&lt;IF(AND($B$3="Stage 2",$B$5=20,AL59=$E$5,$A59&lt;=IF($B$8="One Keeper",$B$5,$B$8)),2,IF(AND(OR($B$3="Stage 2",AND($B$3="Stage 3",OR($B$15="Year 10-11-12 Girls"))),AL59=$E$5,$A59&lt;=IF($B$8="One Keeper",$B$5,$B$8)),3,$B$9)))))))</f>
        <v>0</v>
      </c>
      <c r="AZ59" s="20" t="b">
        <f>IF(AM59="",FALSE,AND(AM59&lt;&gt;$B59,AM59&lt;&gt;$C58,IFERROR(INDEX($E$18:$E$30,MATCH(AM59,$B$18:$B$30,0)),"No")="Yes",IF(AND(OR($B$3="Stage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Girls"))),$B$5&gt;20),MIN(3,MAX(2,Setup!$B$14)),2))*2),AM59=$E$5,IF(AND(OR($B$3="Stage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Girls"))),$B$5&gt;20),MIN(3,MAX(2,Setup!$B$14)),2))*2-1))),AM59=$E$4,TRUE)),COUNTIF($C$32:$C58,AM59)&lt;$B$6,IF($BI59,COUNTIF($C$32:$C58,AM59)&lt;IF($B$3="Stage 1",MIN($B$6,MAX(1,INT($B$5/$B$11))),IF(AND($B$3="Stage 3",$B$5=20,$B$11&gt;11),1,IF(AND($B$3="Stage 3",OR($B$15="Year 10-11-12 Girls"),$B$5&gt;20),MAX(2,Setup!$B$14),Setup!$B$14))),IF(AND($B$3&lt;&gt;"Stage 2",$B$3&lt;&gt;"Stage 3"),TRUE,IF($U59,TRUE,COUNTIF($C$32:$C58,AM59)&lt;IF(AND($B$3="Stage 2",$B$5=20,AM59=$E$5,$A59&lt;=IF($B$8="One Keeper",$B$5,$B$8)),2,IF(AND(OR($B$3="Stage 2",AND($B$3="Stage 3",OR($B$15="Year 10-11-12 Girls"))),AM59=$E$5,$A59&lt;=IF($B$8="One Keeper",$B$5,$B$8)),3,$B$9)))))))</f>
        <v>0</v>
      </c>
      <c r="BA59" s="20" t="b">
        <f>IF(AN59="",FALSE,AND(AN59&lt;&gt;$B59,AN59&lt;&gt;$C58,IFERROR(INDEX($E$18:$E$30,MATCH(AN59,$B$18:$B$30,0)),"No")="Yes",IF(AND(OR($B$3="Stage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Girls"))),$B$5&gt;20),MIN(3,MAX(2,Setup!$B$14)),2))*2),AN59=$E$5,IF(AND(OR($B$3="Stage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Girls"))),$B$5&gt;20),MIN(3,MAX(2,Setup!$B$14)),2))*2-1))),AN59=$E$4,TRUE)),COUNTIF($C$32:$C58,AN59)&lt;$B$6,IF($BI59,COUNTIF($C$32:$C58,AN59)&lt;IF($B$3="Stage 1",MIN($B$6,MAX(1,INT($B$5/$B$11))),IF(AND($B$3="Stage 3",$B$5=20,$B$11&gt;11),1,IF(AND($B$3="Stage 3",OR($B$15="Year 10-11-12 Girls"),$B$5&gt;20),MAX(2,Setup!$B$14),Setup!$B$14))),IF(AND($B$3&lt;&gt;"Stage 2",$B$3&lt;&gt;"Stage 3"),TRUE,IF($U59,TRUE,COUNTIF($C$32:$C58,AN59)&lt;IF(AND($B$3="Stage 2",$B$5=20,AN59=$E$5,$A59&lt;=IF($B$8="One Keeper",$B$5,$B$8)),2,IF(AND(OR($B$3="Stage 2",AND($B$3="Stage 3",OR($B$15="Year 10-11-12 Girls"))),AN59=$E$5,$A59&lt;=IF($B$8="One Keeper",$B$5,$B$8)),3,$B$9)))))))</f>
        <v>0</v>
      </c>
      <c r="BB59" s="20" t="b">
        <f>IF(AO59="",FALSE,AND(AO59&lt;&gt;$B59,AO59&lt;&gt;$C58,IFERROR(INDEX($E$18:$E$30,MATCH(AO59,$B$18:$B$30,0)),"No")="Yes",IF(AND(OR($B$3="Stage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Girls"))),$B$5&gt;20),MIN(3,MAX(2,Setup!$B$14)),2))*2),AO59=$E$5,IF(AND(OR($B$3="Stage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Girls"))),$B$5&gt;20),MIN(3,MAX(2,Setup!$B$14)),2))*2-1))),AO59=$E$4,TRUE)),COUNTIF($C$32:$C58,AO59)&lt;$B$6,IF($BI59,COUNTIF($C$32:$C58,AO59)&lt;IF($B$3="Stage 1",MIN($B$6,MAX(1,INT($B$5/$B$11))),IF(AND($B$3="Stage 3",$B$5=20,$B$11&gt;11),1,IF(AND($B$3="Stage 3",OR($B$15="Year 10-11-12 Girls"),$B$5&gt;20),MAX(2,Setup!$B$14),Setup!$B$14))),IF(AND($B$3&lt;&gt;"Stage 2",$B$3&lt;&gt;"Stage 3"),TRUE,IF($U59,TRUE,COUNTIF($C$32:$C58,AO59)&lt;IF(AND($B$3="Stage 2",$B$5=20,AO59=$E$5,$A59&lt;=IF($B$8="One Keeper",$B$5,$B$8)),2,IF(AND(OR($B$3="Stage 2",AND($B$3="Stage 3",OR($B$15="Year 10-11-12 Girls"))),AO59=$E$5,$A59&lt;=IF($B$8="One Keeper",$B$5,$B$8)),3,$B$9)))))))</f>
        <v>0</v>
      </c>
      <c r="BC59" s="20" t="b">
        <f>IF(AP59="",FALSE,AND(AP59&lt;&gt;$B59,AP59&lt;&gt;$C58,IFERROR(INDEX($E$18:$E$30,MATCH(AP59,$B$18:$B$30,0)),"No")="Yes",IF(AND(OR($B$3="Stage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Girls"))),$B$5&gt;20),MIN(3,MAX(2,Setup!$B$14)),2))*2),AP59=$E$5,IF(AND(OR($B$3="Stage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Girls"))),$B$5&gt;20),MIN(3,MAX(2,Setup!$B$14)),2))*2-1))),AP59=$E$4,TRUE)),COUNTIF($C$32:$C58,AP59)&lt;$B$6,IF($BI59,COUNTIF($C$32:$C58,AP59)&lt;IF($B$3="Stage 1",MIN($B$6,MAX(1,INT($B$5/$B$11))),IF(AND($B$3="Stage 3",$B$5=20,$B$11&gt;11),1,IF(AND($B$3="Stage 3",OR($B$15="Year 10-11-12 Girls"),$B$5&gt;20),MAX(2,Setup!$B$14),Setup!$B$14))),IF(AND($B$3&lt;&gt;"Stage 2",$B$3&lt;&gt;"Stage 3"),TRUE,IF($U59,TRUE,COUNTIF($C$32:$C58,AP59)&lt;IF(AND($B$3="Stage 2",$B$5=20,AP59=$E$5,$A59&lt;=IF($B$8="One Keeper",$B$5,$B$8)),2,IF(AND(OR($B$3="Stage 2",AND($B$3="Stage 3",OR($B$15="Year 10-11-12 Girls"))),AP59=$E$5,$A59&lt;=IF($B$8="One Keeper",$B$5,$B$8)),3,$B$9)))))))</f>
        <v>0</v>
      </c>
      <c r="BD59" s="20" t="b">
        <f>IF(AQ59="",FALSE,AND(AQ59&lt;&gt;$B59,AQ59&lt;&gt;$C58,IFERROR(INDEX($E$18:$E$30,MATCH(AQ59,$B$18:$B$30,0)),"No")="Yes",IF(AND(OR($B$3="Stage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Girls"))),$B$5&gt;20),MIN(3,MAX(2,Setup!$B$14)),2))*2),AQ59=$E$5,IF(AND(OR($B$3="Stage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Girls"))),$B$5&gt;20),MIN(3,MAX(2,Setup!$B$14)),2))*2-1))),AQ59=$E$4,TRUE)),COUNTIF($C$32:$C58,AQ59)&lt;$B$6,IF($BI59,COUNTIF($C$32:$C58,AQ59)&lt;IF($B$3="Stage 1",MIN($B$6,MAX(1,INT($B$5/$B$11))),IF(AND($B$3="Stage 3",$B$5=20,$B$11&gt;11),1,IF(AND($B$3="Stage 3",OR($B$15="Year 10-11-12 Girls"),$B$5&gt;20),MAX(2,Setup!$B$14),Setup!$B$14))),IF(AND($B$3&lt;&gt;"Stage 2",$B$3&lt;&gt;"Stage 3"),TRUE,IF($U59,TRUE,COUNTIF($C$32:$C58,AQ59)&lt;IF(AND($B$3="Stage 2",$B$5=20,AQ59=$E$5,$A59&lt;=IF($B$8="One Keeper",$B$5,$B$8)),2,IF(AND(OR($B$3="Stage 2",AND($B$3="Stage 3",OR($B$15="Year 10-11-12 Girls"))),AQ59=$E$5,$A59&lt;=IF($B$8="One Keeper",$B$5,$B$8)),3,$B$9)))))))</f>
        <v>0</v>
      </c>
      <c r="BE59" s="20" t="b">
        <f>IF(AR59="",FALSE,AND(AR59&lt;&gt;$B59,AR59&lt;&gt;$C58,IFERROR(INDEX($E$18:$E$30,MATCH(AR59,$B$18:$B$30,0)),"No")="Yes",IF(AND(OR($B$3="Stage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Girls"))),$B$5&gt;20),MIN(3,MAX(2,Setup!$B$14)),2))*2),AR59=$E$5,IF(AND(OR($B$3="Stage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Girls"))),$B$5&gt;20),MIN(3,MAX(2,Setup!$B$14)),2))*2-1))),AR59=$E$4,TRUE)),COUNTIF($C$32:$C58,AR59)&lt;$B$6,IF($BI59,COUNTIF($C$32:$C58,AR59)&lt;IF($B$3="Stage 1",MIN($B$6,MAX(1,INT($B$5/$B$11))),IF(AND($B$3="Stage 3",$B$5=20,$B$11&gt;11),1,IF(AND($B$3="Stage 3",OR($B$15="Year 10-11-12 Girls"),$B$5&gt;20),MAX(2,Setup!$B$14),Setup!$B$14))),IF(AND($B$3&lt;&gt;"Stage 2",$B$3&lt;&gt;"Stage 3"),TRUE,IF($U59,TRUE,COUNTIF($C$32:$C58,AR59)&lt;IF(AND($B$3="Stage 2",$B$5=20,AR59=$E$5,$A59&lt;=IF($B$8="One Keeper",$B$5,$B$8)),2,IF(AND(OR($B$3="Stage 2",AND($B$3="Stage 3",OR($B$15="Year 10-11-12 Girls"))),AR59=$E$5,$A59&lt;=IF($B$8="One Keeper",$B$5,$B$8)),3,$B$9)))))))</f>
        <v>0</v>
      </c>
      <c r="BF59" s="20" t="b">
        <f>IF(AS59="",FALSE,AND(AS59&lt;&gt;$B59,AS59&lt;&gt;$C58,IFERROR(INDEX($E$18:$E$30,MATCH(AS59,$B$18:$B$30,0)),"No")="Yes",IF(AND(OR($B$3="Stage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Girls"))),$B$5&gt;20),MIN(3,MAX(2,Setup!$B$14)),2))*2),AS59=$E$5,IF(AND(OR($B$3="Stage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Girls"))),$B$5&gt;20),MIN(3,MAX(2,Setup!$B$14)),2))*2-1))),AS59=$E$4,TRUE)),COUNTIF($C$32:$C58,AS59)&lt;$B$6,IF($BI59,COUNTIF($C$32:$C58,AS59)&lt;IF($B$3="Stage 1",MIN($B$6,MAX(1,INT($B$5/$B$11))),IF(AND($B$3="Stage 3",$B$5=20,$B$11&gt;11),1,IF(AND($B$3="Stage 3",OR($B$15="Year 10-11-12 Girls"),$B$5&gt;20),MAX(2,Setup!$B$14),Setup!$B$14))),IF(AND($B$3&lt;&gt;"Stage 2",$B$3&lt;&gt;"Stage 3"),TRUE,IF($U59,TRUE,COUNTIF($C$32:$C58,AS59)&lt;IF(AND($B$3="Stage 2",$B$5=20,AS59=$E$5,$A59&lt;=IF($B$8="One Keeper",$B$5,$B$8)),2,IF(AND(OR($B$3="Stage 2",AND($B$3="Stage 3",OR($B$15="Year 10-11-12 Girls"))),AS59=$E$5,$A59&lt;=IF($B$8="One Keeper",$B$5,$B$8)),3,$B$9)))))))</f>
        <v>0</v>
      </c>
      <c r="BG59" s="20" t="b">
        <f>IF(AT59="",FALSE,AND(AT59&lt;&gt;$B59,AT59&lt;&gt;$C58,IFERROR(INDEX($E$18:$E$30,MATCH(AT59,$B$18:$B$30,0)),"No")="Yes",IF(AND(OR($B$3="Stage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Girls"))),$B$5&gt;20),MIN(3,MAX(2,Setup!$B$14)),2))*2),AT59=$E$5,IF(AND(OR($B$3="Stage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Girls"))),$B$5&gt;20),MIN(3,MAX(2,Setup!$B$14)),2))*2-1))),AT59=$E$4,TRUE)),COUNTIF($C$32:$C58,AT59)&lt;$B$6,IF($BI59,COUNTIF($C$32:$C58,AT59)&lt;IF($B$3="Stage 1",MIN($B$6,MAX(1,INT($B$5/$B$11))),IF(AND($B$3="Stage 3",$B$5=20,$B$11&gt;11),1,IF(AND($B$3="Stage 3",OR($B$15="Year 10-11-12 Girls"),$B$5&gt;20),MAX(2,Setup!$B$14),Setup!$B$14))),IF(AND($B$3&lt;&gt;"Stage 2",$B$3&lt;&gt;"Stage 3"),TRUE,IF($U59,TRUE,COUNTIF($C$32:$C58,AT59)&lt;IF(AND($B$3="Stage 2",$B$5=20,AT59=$E$5,$A59&lt;=IF($B$8="One Keeper",$B$5,$B$8)),2,IF(AND(OR($B$3="Stage 2",AND($B$3="Stage 3",OR($B$15="Year 10-11-12 Girls"))),AT59=$E$5,$A59&lt;=IF($B$8="One Keeper",$B$5,$B$8)),3,$B$9)))))))</f>
        <v>0</v>
      </c>
      <c r="BH59" s="20" t="b">
        <f>IF(AU59="",FALSE,AND(AU59&lt;&gt;$B59,AU59&lt;&gt;$C58,IFERROR(INDEX($E$18:$E$30,MATCH(AU59,$B$18:$B$30,0)),"No")="Yes",IF(AND(OR($B$3="Stage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Girls"))),$B$5&gt;20),MIN(3,MAX(2,Setup!$B$14)),2))*2),AU59=$E$5,IF(AND(OR($B$3="Stage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Girls"))),$B$5&gt;20),MIN(3,MAX(2,Setup!$B$14)),2))*2-1))),AU59=$E$4,TRUE)),COUNTIF($C$32:$C58,AU59)&lt;$B$6,IF($BI59,COUNTIF($C$32:$C58,AU59)&lt;IF($B$3="Stage 1",MIN($B$6,MAX(1,INT($B$5/$B$11))),IF(AND($B$3="Stage 3",$B$5=20,$B$11&gt;11),1,IF(AND($B$3="Stage 3",OR($B$15="Year 10-11-12 Girls"),$B$5&gt;20),MAX(2,Setup!$B$14),Setup!$B$14))),IF(AND($B$3&lt;&gt;"Stage 2",$B$3&lt;&gt;"Stage 3"),TRUE,IF($U59,TRUE,COUNTIF($C$32:$C58,AU59)&lt;IF(AND($B$3="Stage 2",$B$5=20,AU59=$E$5,$A59&lt;=IF($B$8="One Keeper",$B$5,$B$8)),2,IF(AND(OR($B$3="Stage 2",AND($B$3="Stage 3",OR($B$15="Year 10-11-12 Girls"))),AU59=$E$5,$A59&lt;=IF($B$8="One Keeper",$B$5,$B$8)),3,$B$9)))))))</f>
        <v>0</v>
      </c>
      <c r="BI59"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Keeper",$E$4&lt;&gt;$E$5,$A59&lt;=IF($B$8="One Keeper",$B$5,$B$8),COUNTIF($C$32:$C58,$E$5)&lt;IF(AND($B$3="Stage 3",$B$5=20,$B$11&gt;11),1,IF(AND(OR($B$3="Stage 2",AND($B$3="Stage 3",OR($B$15="Year 10-11-12 Girls"))),$B$5&gt;20),MIN(3,MAX(2,Setup!$B$14)),2)),IFERROR(INDEX($E$18:$E$30,MATCH($E$5,$B$18:$B$30,0)),"No")="Yes",$C58&lt;&gt;$E$5,MOD($A59,2)=0,$A59&lt;=IF(AND($B$3="Stage 3",$B$5=20,$B$11&gt;11),1,IF(AND(OR($B$3="Stage 2",AND($B$3="Stage 3",OR($B$15="Year 10-11-12 Girls"))),$B$5&gt;20),MIN(3,MAX(2,Setup!$B$14)),2))*2),AND(OR($B$3="Stage 1",$B$3="Stage 2",AND($B$3="Stage 3",OR(OR($B$15="Year 10-11-12 Girls"),OR($B$15="Year 8 Boys",$B$15="Year 9 Boys",$B$15="Year 10-11 Boys")))),$B$8&lt;&gt;"One Keeper",$E$4&lt;&gt;$E$5,$A59&gt;IF($B$8="One Keeper",$B$5,$B$8),COUNTIF($C$32:$C58,$E$4)&lt;IF(AND($B$3="Stage 3",$B$5=20,$B$11&gt;11),1,IF(AND(OR($B$3="Stage 2",AND($B$3="Stage 3",OR($B$15="Year 10-11-12 Girls"))),$B$5&gt;20),MIN(3,MAX(2,Setup!$B$14)),2)),IFERROR(INDEX($E$18:$E$30,MATCH($E$4,$B$18:$B$30,0)),"No")="Yes",$C58&lt;&gt;$E$4,IF($B$7="Three-over spell",AND(MOD($A59-IF($B$8="One Keeper",$B$5,$B$8)-1,3)=0,($A59-IF($B$8="One Keeper",$B$5,$B$8))&lt;=1+(IF(AND($B$3="Stage 3",$B$5=20,$B$11&gt;11),1,IF(AND(OR($B$3="Stage 2",AND($B$3="Stage 3",OR($B$15="Year 10-11-12 Girls"))),$B$5&gt;20),MIN(3,MAX(2,Setup!$B$14)),2))-1)*3),AND(MOD($A59-IF($B$8="One Keeper",$B$5,$B$8),2)=1,($A59-IF($B$8="One Keeper",$B$5,$B$8))&lt;=IF(AND($B$3="Stage 3",$B$5=20,$B$11&gt;11),1,IF(AND(OR($B$3="Stage 2",AND($B$3="Stage 3",OR($B$15="Year 10-11-12 Girls"))),$B$5&gt;20),MIN(3,MAX(2,Setup!$B$14)),2))*2-1))))),OR($U59,AND($B$3="Stage 3",$B$5=20,$B$11&gt;11)),OR($BJ59,$BK59,$BL59,$BM59,$BN59,$BO59,$BP59,$BQ59,$BR59,$BS59,$BT59,$BU59,$BV59))</f>
        <v>0</v>
      </c>
      <c r="BJ59" s="20" t="b">
        <f>IF(AI59="",FALSE,AND(AI59&lt;&gt;IF(AND($B$3="Stage 3",OR($B$15="Year 8 Boys",$B$15="Year 9 Boys",$B$15="Year 10-11 Boys"),$B$8="One Keeper"),$E$4,""),AI59&lt;&gt;$B59,AI59&lt;&gt;$C58,IFERROR(INDEX($E$18:$E$30,MATCH(AI59,$B$18:$B$30,0)),"No")="Yes",COUNTIF($C$32:$C58,AI59)&lt;$B$6,COUNTIF($C$32:$C58,AI59)&lt;IF($B$3="Stage 1",MIN($B$6,MAX(1,INT($B$5/$B$11))),IF(AND($B$3="Stage 3",$B$5=20,$B$11&gt;11),1,IF(AND($B$3="Stage 3",OR($B$15="Year 10-11-12 Girls"),$B$5&gt;20),MAX(2,Setup!$B$14),Setup!$B$14)))))</f>
        <v>0</v>
      </c>
      <c r="BK59" s="20" t="b">
        <f>IF(AJ59="",FALSE,AND(AJ59&lt;&gt;IF(AND($B$3="Stage 3",OR($B$15="Year 8 Boys",$B$15="Year 9 Boys",$B$15="Year 10-11 Boys"),$B$8="One Keeper"),$E$4,""),AJ59&lt;&gt;$B59,AJ59&lt;&gt;$C58,IFERROR(INDEX($E$18:$E$30,MATCH(AJ59,$B$18:$B$30,0)),"No")="Yes",COUNTIF($C$32:$C58,AJ59)&lt;$B$6,COUNTIF($C$32:$C58,AJ59)&lt;IF($B$3="Stage 1",MIN($B$6,MAX(1,INT($B$5/$B$11))),IF(AND($B$3="Stage 3",$B$5=20,$B$11&gt;11),1,IF(AND($B$3="Stage 3",OR($B$15="Year 10-11-12 Girls"),$B$5&gt;20),MAX(2,Setup!$B$14),Setup!$B$14)))))</f>
        <v>0</v>
      </c>
      <c r="BL59" s="20" t="b">
        <f>IF(AK59="",FALSE,AND(AK59&lt;&gt;IF(AND($B$3="Stage 3",OR($B$15="Year 8 Boys",$B$15="Year 9 Boys",$B$15="Year 10-11 Boys"),$B$8="One Keeper"),$E$4,""),AK59&lt;&gt;$B59,AK59&lt;&gt;$C58,IFERROR(INDEX($E$18:$E$30,MATCH(AK59,$B$18:$B$30,0)),"No")="Yes",COUNTIF($C$32:$C58,AK59)&lt;$B$6,COUNTIF($C$32:$C58,AK59)&lt;IF($B$3="Stage 1",MIN($B$6,MAX(1,INT($B$5/$B$11))),IF(AND($B$3="Stage 3",$B$5=20,$B$11&gt;11),1,IF(AND($B$3="Stage 3",OR($B$15="Year 10-11-12 Girls"),$B$5&gt;20),MAX(2,Setup!$B$14),Setup!$B$14)))))</f>
        <v>0</v>
      </c>
      <c r="BM59" s="20" t="b">
        <f>IF(AL59="",FALSE,AND(AL59&lt;&gt;IF(AND($B$3="Stage 3",OR($B$15="Year 8 Boys",$B$15="Year 9 Boys",$B$15="Year 10-11 Boys"),$B$8="One Keeper"),$E$4,""),AL59&lt;&gt;$B59,AL59&lt;&gt;$C58,IFERROR(INDEX($E$18:$E$30,MATCH(AL59,$B$18:$B$30,0)),"No")="Yes",COUNTIF($C$32:$C58,AL59)&lt;$B$6,COUNTIF($C$32:$C58,AL59)&lt;IF($B$3="Stage 1",MIN($B$6,MAX(1,INT($B$5/$B$11))),IF(AND($B$3="Stage 3",$B$5=20,$B$11&gt;11),1,IF(AND($B$3="Stage 3",OR($B$15="Year 10-11-12 Girls"),$B$5&gt;20),MAX(2,Setup!$B$14),Setup!$B$14)))))</f>
        <v>0</v>
      </c>
      <c r="BN59" s="20" t="b">
        <f>IF(AM59="",FALSE,AND(AM59&lt;&gt;IF(AND($B$3="Stage 3",OR($B$15="Year 8 Boys",$B$15="Year 9 Boys",$B$15="Year 10-11 Boys"),$B$8="One Keeper"),$E$4,""),AM59&lt;&gt;$B59,AM59&lt;&gt;$C58,IFERROR(INDEX($E$18:$E$30,MATCH(AM59,$B$18:$B$30,0)),"No")="Yes",COUNTIF($C$32:$C58,AM59)&lt;$B$6,COUNTIF($C$32:$C58,AM59)&lt;IF($B$3="Stage 1",MIN($B$6,MAX(1,INT($B$5/$B$11))),IF(AND($B$3="Stage 3",$B$5=20,$B$11&gt;11),1,IF(AND($B$3="Stage 3",OR($B$15="Year 10-11-12 Girls"),$B$5&gt;20),MAX(2,Setup!$B$14),Setup!$B$14)))))</f>
        <v>0</v>
      </c>
      <c r="BO59" s="20" t="b">
        <f>IF(AN59="",FALSE,AND(AN59&lt;&gt;IF(AND($B$3="Stage 3",OR($B$15="Year 8 Boys",$B$15="Year 9 Boys",$B$15="Year 10-11 Boys"),$B$8="One Keeper"),$E$4,""),AN59&lt;&gt;$B59,AN59&lt;&gt;$C58,IFERROR(INDEX($E$18:$E$30,MATCH(AN59,$B$18:$B$30,0)),"No")="Yes",COUNTIF($C$32:$C58,AN59)&lt;$B$6,COUNTIF($C$32:$C58,AN59)&lt;IF($B$3="Stage 1",MIN($B$6,MAX(1,INT($B$5/$B$11))),IF(AND($B$3="Stage 3",$B$5=20,$B$11&gt;11),1,IF(AND($B$3="Stage 3",OR($B$15="Year 10-11-12 Girls"),$B$5&gt;20),MAX(2,Setup!$B$14),Setup!$B$14)))))</f>
        <v>0</v>
      </c>
      <c r="BP59" s="20" t="b">
        <f>IF(AO59="",FALSE,AND(AO59&lt;&gt;IF(AND($B$3="Stage 3",OR($B$15="Year 8 Boys",$B$15="Year 9 Boys",$B$15="Year 10-11 Boys"),$B$8="One Keeper"),$E$4,""),AO59&lt;&gt;$B59,AO59&lt;&gt;$C58,IFERROR(INDEX($E$18:$E$30,MATCH(AO59,$B$18:$B$30,0)),"No")="Yes",COUNTIF($C$32:$C58,AO59)&lt;$B$6,COUNTIF($C$32:$C58,AO59)&lt;IF($B$3="Stage 1",MIN($B$6,MAX(1,INT($B$5/$B$11))),IF(AND($B$3="Stage 3",$B$5=20,$B$11&gt;11),1,IF(AND($B$3="Stage 3",OR($B$15="Year 10-11-12 Girls"),$B$5&gt;20),MAX(2,Setup!$B$14),Setup!$B$14)))))</f>
        <v>0</v>
      </c>
      <c r="BQ59" s="20" t="b">
        <f>IF(AP59="",FALSE,AND(AP59&lt;&gt;IF(AND($B$3="Stage 3",OR($B$15="Year 8 Boys",$B$15="Year 9 Boys",$B$15="Year 10-11 Boys"),$B$8="One Keeper"),$E$4,""),AP59&lt;&gt;$B59,AP59&lt;&gt;$C58,IFERROR(INDEX($E$18:$E$30,MATCH(AP59,$B$18:$B$30,0)),"No")="Yes",COUNTIF($C$32:$C58,AP59)&lt;$B$6,COUNTIF($C$32:$C58,AP59)&lt;IF($B$3="Stage 1",MIN($B$6,MAX(1,INT($B$5/$B$11))),IF(AND($B$3="Stage 3",$B$5=20,$B$11&gt;11),1,IF(AND($B$3="Stage 3",OR($B$15="Year 10-11-12 Girls"),$B$5&gt;20),MAX(2,Setup!$B$14),Setup!$B$14)))))</f>
        <v>0</v>
      </c>
      <c r="BR59" s="20" t="b">
        <f>IF(AQ59="",FALSE,AND(AQ59&lt;&gt;IF(AND($B$3="Stage 3",OR($B$15="Year 8 Boys",$B$15="Year 9 Boys",$B$15="Year 10-11 Boys"),$B$8="One Keeper"),$E$4,""),AQ59&lt;&gt;$B59,AQ59&lt;&gt;$C58,IFERROR(INDEX($E$18:$E$30,MATCH(AQ59,$B$18:$B$30,0)),"No")="Yes",COUNTIF($C$32:$C58,AQ59)&lt;$B$6,COUNTIF($C$32:$C58,AQ59)&lt;IF($B$3="Stage 1",MIN($B$6,MAX(1,INT($B$5/$B$11))),IF(AND($B$3="Stage 3",$B$5=20,$B$11&gt;11),1,IF(AND($B$3="Stage 3",OR($B$15="Year 10-11-12 Girls"),$B$5&gt;20),MAX(2,Setup!$B$14),Setup!$B$14)))))</f>
        <v>0</v>
      </c>
      <c r="BS59" s="20" t="b">
        <f>IF(AR59="",FALSE,AND(AR59&lt;&gt;IF(AND($B$3="Stage 3",OR($B$15="Year 8 Boys",$B$15="Year 9 Boys",$B$15="Year 10-11 Boys"),$B$8="One Keeper"),$E$4,""),AR59&lt;&gt;$B59,AR59&lt;&gt;$C58,IFERROR(INDEX($E$18:$E$30,MATCH(AR59,$B$18:$B$30,0)),"No")="Yes",COUNTIF($C$32:$C58,AR59)&lt;$B$6,COUNTIF($C$32:$C58,AR59)&lt;IF($B$3="Stage 1",MIN($B$6,MAX(1,INT($B$5/$B$11))),IF(AND($B$3="Stage 3",$B$5=20,$B$11&gt;11),1,IF(AND($B$3="Stage 3",OR($B$15="Year 10-11-12 Girls"),$B$5&gt;20),MAX(2,Setup!$B$14),Setup!$B$14)))))</f>
        <v>0</v>
      </c>
      <c r="BT59" s="20" t="b">
        <f>IF(AS59="",FALSE,AND(AS59&lt;&gt;IF(AND($B$3="Stage 3",OR($B$15="Year 8 Boys",$B$15="Year 9 Boys",$B$15="Year 10-11 Boys"),$B$8="One Keeper"),$E$4,""),AS59&lt;&gt;$B59,AS59&lt;&gt;$C58,IFERROR(INDEX($E$18:$E$30,MATCH(AS59,$B$18:$B$30,0)),"No")="Yes",COUNTIF($C$32:$C58,AS59)&lt;$B$6,COUNTIF($C$32:$C58,AS59)&lt;IF($B$3="Stage 1",MIN($B$6,MAX(1,INT($B$5/$B$11))),IF(AND($B$3="Stage 3",$B$5=20,$B$11&gt;11),1,IF(AND($B$3="Stage 3",OR($B$15="Year 10-11-12 Girls"),$B$5&gt;20),MAX(2,Setup!$B$14),Setup!$B$14)))))</f>
        <v>0</v>
      </c>
      <c r="BU59" s="20" t="b">
        <f>IF(AT59="",FALSE,AND(AT59&lt;&gt;IF(AND($B$3="Stage 3",OR($B$15="Year 8 Boys",$B$15="Year 9 Boys",$B$15="Year 10-11 Boys"),$B$8="One Keeper"),$E$4,""),AT59&lt;&gt;$B59,AT59&lt;&gt;$C58,IFERROR(INDEX($E$18:$E$30,MATCH(AT59,$B$18:$B$30,0)),"No")="Yes",COUNTIF($C$32:$C58,AT59)&lt;$B$6,COUNTIF($C$32:$C58,AT59)&lt;IF($B$3="Stage 1",MIN($B$6,MAX(1,INT($B$5/$B$11))),IF(AND($B$3="Stage 3",$B$5=20,$B$11&gt;11),1,IF(AND($B$3="Stage 3",OR($B$15="Year 10-11-12 Girls"),$B$5&gt;20),MAX(2,Setup!$B$14),Setup!$B$14)))))</f>
        <v>0</v>
      </c>
      <c r="BV59" s="20" t="b">
        <f>IF(AU59="",FALSE,AND(AU59&lt;&gt;IF(AND($B$3="Stage 3",OR($B$15="Year 8 Boys",$B$15="Year 9 Boys",$B$15="Year 10-11 Boys"),$B$8="One Keeper"),$E$4,""),AU59&lt;&gt;$B59,AU59&lt;&gt;$C58,IFERROR(INDEX($E$18:$E$30,MATCH(AU59,$B$18:$B$30,0)),"No")="Yes",COUNTIF($C$32:$C58,AU59)&lt;$B$6,COUNTIF($C$32:$C58,AU59)&lt;IF($B$3="Stage 1",MIN($B$6,MAX(1,INT($B$5/$B$11))),IF(AND($B$3="Stage 3",$B$5=20,$B$11&gt;11),1,IF(AND($B$3="Stage 3",OR($B$15="Year 10-11-12 Girls"),$B$5&gt;20),MAX(2,Setup!$B$14),Setup!$B$14)))))</f>
        <v>0</v>
      </c>
      <c r="BW59" s="20"/>
      <c r="BX59" s="20"/>
      <c r="BY59" s="20"/>
      <c r="BZ59" s="20"/>
      <c r="CA59" s="20"/>
      <c r="CB59" s="20"/>
      <c r="CC59" s="20"/>
      <c r="CD59" s="20"/>
      <c r="CE59" s="20"/>
      <c r="CF59" s="20"/>
      <c r="CG59" s="20"/>
      <c r="CH59" s="20"/>
      <c r="CI59" s="20"/>
      <c r="CJ59" s="20"/>
      <c r="CK59" s="20"/>
    </row>
    <row r="60" spans="1:89" ht="15" customHeight="1">
      <c r="A60" s="18">
        <v>29</v>
      </c>
      <c r="B60" s="18" t="str">
        <f t="shared" si="5"/>
        <v/>
      </c>
      <c r="C60" s="18" t="str">
        <f t="shared" si="6"/>
        <v/>
      </c>
      <c r="D60" s="18">
        <f t="shared" si="7"/>
        <v>8</v>
      </c>
      <c r="E60" s="18" t="str">
        <f>IF($C60="","",COUNTIF($C$32:C60,$C60))</f>
        <v/>
      </c>
      <c r="F60" s="18" t="str">
        <f t="shared" si="8"/>
        <v/>
      </c>
      <c r="T60" s="20" t="str">
        <f t="shared" si="15"/>
        <v/>
      </c>
      <c r="U60" s="20" t="b">
        <f>IF(OR($B$3="Stage 2",AND($B$3="Stage 3",OR($B$15="Year 10-11-12 Girls"))),(IF(AND($P$18&lt;&gt;"",$P$18&lt;&gt;$E$4,COUNTIF($C$32:$C59,$P$18)&gt;=2),1,0)+IF(AND($P$19&lt;&gt;"",$P$19&lt;&gt;$E$4,COUNTIF($C$32:$C59,$P$19)&gt;=2),1,0)+IF(AND($P$20&lt;&gt;"",$P$20&lt;&gt;$E$4,COUNTIF($C$32:$C59,$P$20)&gt;=2),1,0)+IF(AND($P$21&lt;&gt;"",$P$21&lt;&gt;$E$4,COUNTIF($C$32:$C59,$P$21)&gt;=2),1,0)+IF(AND($P$22&lt;&gt;"",$P$22&lt;&gt;$E$4,COUNTIF($C$32:$C59,$P$22)&gt;=2),1,0)+IF(AND($P$23&lt;&gt;"",$P$23&lt;&gt;$E$4,COUNTIF($C$32:$C59,$P$23)&gt;=2),1,0)+IF(AND($P$24&lt;&gt;"",$P$24&lt;&gt;$E$4,COUNTIF($C$32:$C59,$P$24)&gt;=2),1,0)+IF(AND($P$25&lt;&gt;"",$P$25&lt;&gt;$E$4,COUNTIF($C$32:$C59,$P$25)&gt;=2),1,0)+IF(AND($P$26&lt;&gt;"",$P$26&lt;&gt;$E$4,COUNTIF($C$32:$C59,$P$26)&gt;=2),1,0)+IF(AND($P$27&lt;&gt;"",$P$27&lt;&gt;$E$4,COUNTIF($C$32:$C59,$P$27)&gt;=2),1,0)+IF(AND($P$28&lt;&gt;"",$P$28&lt;&gt;$E$4,COUNTIF($C$32:$C59,$P$28)&gt;=2),1,0)+IF(AND($P$29&lt;&gt;"",$P$29&lt;&gt;$E$4,COUNTIF($C$32:$C59,$P$29)&gt;=2),1,0)+IF(AND($P$30&lt;&gt;"",$P$30&lt;&gt;$E$4,COUNTIF($C$32:$C59,$P$30)&gt;=2),1,0))&gt;=MAX(0,$B$11-1),IF(AND($B$3="Stage 3",OR($B$15="Year 8 Boys",$B$15="Year 9 Boys",$B$15="Year 10-11 Boys")),(IF(AND($P$18&lt;&gt;"",COUNTIF($C$32:$C59,$P$18)&gt;=2),1,0)+IF(AND($P$19&lt;&gt;"",COUNTIF($C$32:$C59,$P$19)&gt;=2),1,0)+IF(AND($P$20&lt;&gt;"",COUNTIF($C$32:$C59,$P$20)&gt;=2),1,0)+IF(AND($P$21&lt;&gt;"",COUNTIF($C$32:$C59,$P$21)&gt;=2),1,0)+IF(AND($P$22&lt;&gt;"",COUNTIF($C$32:$C59,$P$22)&gt;=2),1,0)+IF(AND($P$23&lt;&gt;"",COUNTIF($C$32:$C59,$P$23)&gt;=2),1,0)+IF(AND($P$24&lt;&gt;"",COUNTIF($C$32:$C59,$P$24)&gt;=2),1,0)+IF(AND($P$25&lt;&gt;"",COUNTIF($C$32:$C59,$P$25)&gt;=2),1,0)+IF(AND($P$26&lt;&gt;"",COUNTIF($C$32:$C59,$P$26)&gt;=2),1,0)+IF(AND($P$27&lt;&gt;"",COUNTIF($C$32:$C59,$P$27)&gt;=2),1,0)+IF(AND($P$28&lt;&gt;"",COUNTIF($C$32:$C59,$P$28)&gt;=2),1,0)+IF(AND($P$29&lt;&gt;"",COUNTIF($C$32:$C59,$P$29)&gt;=2),1,0)+IF(AND($P$30&lt;&gt;"",COUNTIF($C$32:$C59,$P$30)&gt;=2),1,0))&gt;=7,TRUE))</f>
        <v>1</v>
      </c>
      <c r="V60" s="20" t="str">
        <f t="shared" si="31"/>
        <v/>
      </c>
      <c r="W60" s="20" t="str">
        <f t="shared" si="31"/>
        <v/>
      </c>
      <c r="X60" s="20" t="str">
        <f t="shared" si="31"/>
        <v/>
      </c>
      <c r="Y60" s="20" t="str">
        <f t="shared" si="31"/>
        <v/>
      </c>
      <c r="Z60" s="20" t="str">
        <f t="shared" si="31"/>
        <v/>
      </c>
      <c r="AA60" s="20" t="str">
        <f t="shared" si="31"/>
        <v/>
      </c>
      <c r="AB60" s="20" t="str">
        <f t="shared" si="31"/>
        <v/>
      </c>
      <c r="AC60" s="20" t="str">
        <f t="shared" si="31"/>
        <v/>
      </c>
      <c r="AD60" s="20" t="str">
        <f t="shared" si="31"/>
        <v/>
      </c>
      <c r="AE60" s="20" t="str">
        <f t="shared" si="31"/>
        <v/>
      </c>
      <c r="AF60" s="20" t="str">
        <f t="shared" si="31"/>
        <v/>
      </c>
      <c r="AG60" s="20" t="str">
        <f t="shared" si="31"/>
        <v/>
      </c>
      <c r="AH60" s="20" t="str">
        <f t="shared" si="31"/>
        <v/>
      </c>
      <c r="AI60" s="20" t="str">
        <f t="shared" si="17"/>
        <v/>
      </c>
      <c r="AJ60" s="20" t="str">
        <f t="shared" si="18"/>
        <v/>
      </c>
      <c r="AK60" s="20" t="str">
        <f t="shared" si="19"/>
        <v/>
      </c>
      <c r="AL60" s="20" t="str">
        <f t="shared" si="20"/>
        <v/>
      </c>
      <c r="AM60" s="20" t="str">
        <f t="shared" si="21"/>
        <v/>
      </c>
      <c r="AN60" s="20" t="str">
        <f t="shared" si="22"/>
        <v/>
      </c>
      <c r="AO60" s="20" t="str">
        <f t="shared" si="23"/>
        <v/>
      </c>
      <c r="AP60" s="20" t="str">
        <f t="shared" si="24"/>
        <v/>
      </c>
      <c r="AQ60" s="20" t="str">
        <f t="shared" si="25"/>
        <v/>
      </c>
      <c r="AR60" s="20" t="str">
        <f t="shared" si="26"/>
        <v/>
      </c>
      <c r="AS60" s="20" t="str">
        <f t="shared" si="27"/>
        <v/>
      </c>
      <c r="AT60" s="20" t="str">
        <f t="shared" si="28"/>
        <v/>
      </c>
      <c r="AU60" s="20" t="str">
        <f t="shared" si="29"/>
        <v/>
      </c>
      <c r="AV60" s="20" t="b">
        <f>IF(AI60="",FALSE,AND(AI60&lt;&gt;$B60,AI60&lt;&gt;$C59,IFERROR(INDEX($E$18:$E$30,MATCH(AI60,$B$18:$B$30,0)),"No")="Yes",IF(AND(OR($B$3="Stage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Girls"))),$B$5&gt;20),MIN(3,MAX(2,Setup!$B$14)),2))*2),AI60=$E$5,IF(AND(OR($B$3="Stage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Girls"))),$B$5&gt;20),MIN(3,MAX(2,Setup!$B$14)),2))*2-1))),AI60=$E$4,TRUE)),COUNTIF($C$32:$C59,AI60)&lt;$B$6,IF($BI60,COUNTIF($C$32:$C59,AI60)&lt;IF($B$3="Stage 1",MIN($B$6,MAX(1,INT($B$5/$B$11))),IF(AND($B$3="Stage 3",$B$5=20,$B$11&gt;11),1,IF(AND($B$3="Stage 3",OR($B$15="Year 10-11-12 Girls"),$B$5&gt;20),MAX(2,Setup!$B$14),Setup!$B$14))),IF(AND($B$3&lt;&gt;"Stage 2",$B$3&lt;&gt;"Stage 3"),TRUE,IF($U60,TRUE,COUNTIF($C$32:$C59,AI60)&lt;IF(AND($B$3="Stage 2",$B$5=20,AI60=$E$5,$A60&lt;=IF($B$8="One Keeper",$B$5,$B$8)),2,IF(AND(OR($B$3="Stage 2",AND($B$3="Stage 3",OR($B$15="Year 10-11-12 Girls"))),AI60=$E$5,$A60&lt;=IF($B$8="One Keeper",$B$5,$B$8)),3,$B$9)))))))</f>
        <v>0</v>
      </c>
      <c r="AW60" s="20" t="b">
        <f>IF(AJ60="",FALSE,AND(AJ60&lt;&gt;$B60,AJ60&lt;&gt;$C59,IFERROR(INDEX($E$18:$E$30,MATCH(AJ60,$B$18:$B$30,0)),"No")="Yes",IF(AND(OR($B$3="Stage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Girls"))),$B$5&gt;20),MIN(3,MAX(2,Setup!$B$14)),2))*2),AJ60=$E$5,IF(AND(OR($B$3="Stage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Girls"))),$B$5&gt;20),MIN(3,MAX(2,Setup!$B$14)),2))*2-1))),AJ60=$E$4,TRUE)),COUNTIF($C$32:$C59,AJ60)&lt;$B$6,IF($BI60,COUNTIF($C$32:$C59,AJ60)&lt;IF($B$3="Stage 1",MIN($B$6,MAX(1,INT($B$5/$B$11))),IF(AND($B$3="Stage 3",$B$5=20,$B$11&gt;11),1,IF(AND($B$3="Stage 3",OR($B$15="Year 10-11-12 Girls"),$B$5&gt;20),MAX(2,Setup!$B$14),Setup!$B$14))),IF(AND($B$3&lt;&gt;"Stage 2",$B$3&lt;&gt;"Stage 3"),TRUE,IF($U60,TRUE,COUNTIF($C$32:$C59,AJ60)&lt;IF(AND($B$3="Stage 2",$B$5=20,AJ60=$E$5,$A60&lt;=IF($B$8="One Keeper",$B$5,$B$8)),2,IF(AND(OR($B$3="Stage 2",AND($B$3="Stage 3",OR($B$15="Year 10-11-12 Girls"))),AJ60=$E$5,$A60&lt;=IF($B$8="One Keeper",$B$5,$B$8)),3,$B$9)))))))</f>
        <v>0</v>
      </c>
      <c r="AX60" s="20" t="b">
        <f>IF(AK60="",FALSE,AND(AK60&lt;&gt;$B60,AK60&lt;&gt;$C59,IFERROR(INDEX($E$18:$E$30,MATCH(AK60,$B$18:$B$30,0)),"No")="Yes",IF(AND(OR($B$3="Stage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Girls"))),$B$5&gt;20),MIN(3,MAX(2,Setup!$B$14)),2))*2),AK60=$E$5,IF(AND(OR($B$3="Stage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Girls"))),$B$5&gt;20),MIN(3,MAX(2,Setup!$B$14)),2))*2-1))),AK60=$E$4,TRUE)),COUNTIF($C$32:$C59,AK60)&lt;$B$6,IF($BI60,COUNTIF($C$32:$C59,AK60)&lt;IF($B$3="Stage 1",MIN($B$6,MAX(1,INT($B$5/$B$11))),IF(AND($B$3="Stage 3",$B$5=20,$B$11&gt;11),1,IF(AND($B$3="Stage 3",OR($B$15="Year 10-11-12 Girls"),$B$5&gt;20),MAX(2,Setup!$B$14),Setup!$B$14))),IF(AND($B$3&lt;&gt;"Stage 2",$B$3&lt;&gt;"Stage 3"),TRUE,IF($U60,TRUE,COUNTIF($C$32:$C59,AK60)&lt;IF(AND($B$3="Stage 2",$B$5=20,AK60=$E$5,$A60&lt;=IF($B$8="One Keeper",$B$5,$B$8)),2,IF(AND(OR($B$3="Stage 2",AND($B$3="Stage 3",OR($B$15="Year 10-11-12 Girls"))),AK60=$E$5,$A60&lt;=IF($B$8="One Keeper",$B$5,$B$8)),3,$B$9)))))))</f>
        <v>0</v>
      </c>
      <c r="AY60" s="20" t="b">
        <f>IF(AL60="",FALSE,AND(AL60&lt;&gt;$B60,AL60&lt;&gt;$C59,IFERROR(INDEX($E$18:$E$30,MATCH(AL60,$B$18:$B$30,0)),"No")="Yes",IF(AND(OR($B$3="Stage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Girls"))),$B$5&gt;20),MIN(3,MAX(2,Setup!$B$14)),2))*2),AL60=$E$5,IF(AND(OR($B$3="Stage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Girls"))),$B$5&gt;20),MIN(3,MAX(2,Setup!$B$14)),2))*2-1))),AL60=$E$4,TRUE)),COUNTIF($C$32:$C59,AL60)&lt;$B$6,IF($BI60,COUNTIF($C$32:$C59,AL60)&lt;IF($B$3="Stage 1",MIN($B$6,MAX(1,INT($B$5/$B$11))),IF(AND($B$3="Stage 3",$B$5=20,$B$11&gt;11),1,IF(AND($B$3="Stage 3",OR($B$15="Year 10-11-12 Girls"),$B$5&gt;20),MAX(2,Setup!$B$14),Setup!$B$14))),IF(AND($B$3&lt;&gt;"Stage 2",$B$3&lt;&gt;"Stage 3"),TRUE,IF($U60,TRUE,COUNTIF($C$32:$C59,AL60)&lt;IF(AND($B$3="Stage 2",$B$5=20,AL60=$E$5,$A60&lt;=IF($B$8="One Keeper",$B$5,$B$8)),2,IF(AND(OR($B$3="Stage 2",AND($B$3="Stage 3",OR($B$15="Year 10-11-12 Girls"))),AL60=$E$5,$A60&lt;=IF($B$8="One Keeper",$B$5,$B$8)),3,$B$9)))))))</f>
        <v>0</v>
      </c>
      <c r="AZ60" s="20" t="b">
        <f>IF(AM60="",FALSE,AND(AM60&lt;&gt;$B60,AM60&lt;&gt;$C59,IFERROR(INDEX($E$18:$E$30,MATCH(AM60,$B$18:$B$30,0)),"No")="Yes",IF(AND(OR($B$3="Stage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Girls"))),$B$5&gt;20),MIN(3,MAX(2,Setup!$B$14)),2))*2),AM60=$E$5,IF(AND(OR($B$3="Stage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Girls"))),$B$5&gt;20),MIN(3,MAX(2,Setup!$B$14)),2))*2-1))),AM60=$E$4,TRUE)),COUNTIF($C$32:$C59,AM60)&lt;$B$6,IF($BI60,COUNTIF($C$32:$C59,AM60)&lt;IF($B$3="Stage 1",MIN($B$6,MAX(1,INT($B$5/$B$11))),IF(AND($B$3="Stage 3",$B$5=20,$B$11&gt;11),1,IF(AND($B$3="Stage 3",OR($B$15="Year 10-11-12 Girls"),$B$5&gt;20),MAX(2,Setup!$B$14),Setup!$B$14))),IF(AND($B$3&lt;&gt;"Stage 2",$B$3&lt;&gt;"Stage 3"),TRUE,IF($U60,TRUE,COUNTIF($C$32:$C59,AM60)&lt;IF(AND($B$3="Stage 2",$B$5=20,AM60=$E$5,$A60&lt;=IF($B$8="One Keeper",$B$5,$B$8)),2,IF(AND(OR($B$3="Stage 2",AND($B$3="Stage 3",OR($B$15="Year 10-11-12 Girls"))),AM60=$E$5,$A60&lt;=IF($B$8="One Keeper",$B$5,$B$8)),3,$B$9)))))))</f>
        <v>0</v>
      </c>
      <c r="BA60" s="20" t="b">
        <f>IF(AN60="",FALSE,AND(AN60&lt;&gt;$B60,AN60&lt;&gt;$C59,IFERROR(INDEX($E$18:$E$30,MATCH(AN60,$B$18:$B$30,0)),"No")="Yes",IF(AND(OR($B$3="Stage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Girls"))),$B$5&gt;20),MIN(3,MAX(2,Setup!$B$14)),2))*2),AN60=$E$5,IF(AND(OR($B$3="Stage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Girls"))),$B$5&gt;20),MIN(3,MAX(2,Setup!$B$14)),2))*2-1))),AN60=$E$4,TRUE)),COUNTIF($C$32:$C59,AN60)&lt;$B$6,IF($BI60,COUNTIF($C$32:$C59,AN60)&lt;IF($B$3="Stage 1",MIN($B$6,MAX(1,INT($B$5/$B$11))),IF(AND($B$3="Stage 3",$B$5=20,$B$11&gt;11),1,IF(AND($B$3="Stage 3",OR($B$15="Year 10-11-12 Girls"),$B$5&gt;20),MAX(2,Setup!$B$14),Setup!$B$14))),IF(AND($B$3&lt;&gt;"Stage 2",$B$3&lt;&gt;"Stage 3"),TRUE,IF($U60,TRUE,COUNTIF($C$32:$C59,AN60)&lt;IF(AND($B$3="Stage 2",$B$5=20,AN60=$E$5,$A60&lt;=IF($B$8="One Keeper",$B$5,$B$8)),2,IF(AND(OR($B$3="Stage 2",AND($B$3="Stage 3",OR($B$15="Year 10-11-12 Girls"))),AN60=$E$5,$A60&lt;=IF($B$8="One Keeper",$B$5,$B$8)),3,$B$9)))))))</f>
        <v>0</v>
      </c>
      <c r="BB60" s="20" t="b">
        <f>IF(AO60="",FALSE,AND(AO60&lt;&gt;$B60,AO60&lt;&gt;$C59,IFERROR(INDEX($E$18:$E$30,MATCH(AO60,$B$18:$B$30,0)),"No")="Yes",IF(AND(OR($B$3="Stage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Girls"))),$B$5&gt;20),MIN(3,MAX(2,Setup!$B$14)),2))*2),AO60=$E$5,IF(AND(OR($B$3="Stage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Girls"))),$B$5&gt;20),MIN(3,MAX(2,Setup!$B$14)),2))*2-1))),AO60=$E$4,TRUE)),COUNTIF($C$32:$C59,AO60)&lt;$B$6,IF($BI60,COUNTIF($C$32:$C59,AO60)&lt;IF($B$3="Stage 1",MIN($B$6,MAX(1,INT($B$5/$B$11))),IF(AND($B$3="Stage 3",$B$5=20,$B$11&gt;11),1,IF(AND($B$3="Stage 3",OR($B$15="Year 10-11-12 Girls"),$B$5&gt;20),MAX(2,Setup!$B$14),Setup!$B$14))),IF(AND($B$3&lt;&gt;"Stage 2",$B$3&lt;&gt;"Stage 3"),TRUE,IF($U60,TRUE,COUNTIF($C$32:$C59,AO60)&lt;IF(AND($B$3="Stage 2",$B$5=20,AO60=$E$5,$A60&lt;=IF($B$8="One Keeper",$B$5,$B$8)),2,IF(AND(OR($B$3="Stage 2",AND($B$3="Stage 3",OR($B$15="Year 10-11-12 Girls"))),AO60=$E$5,$A60&lt;=IF($B$8="One Keeper",$B$5,$B$8)),3,$B$9)))))))</f>
        <v>0</v>
      </c>
      <c r="BC60" s="20" t="b">
        <f>IF(AP60="",FALSE,AND(AP60&lt;&gt;$B60,AP60&lt;&gt;$C59,IFERROR(INDEX($E$18:$E$30,MATCH(AP60,$B$18:$B$30,0)),"No")="Yes",IF(AND(OR($B$3="Stage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Girls"))),$B$5&gt;20),MIN(3,MAX(2,Setup!$B$14)),2))*2),AP60=$E$5,IF(AND(OR($B$3="Stage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Girls"))),$B$5&gt;20),MIN(3,MAX(2,Setup!$B$14)),2))*2-1))),AP60=$E$4,TRUE)),COUNTIF($C$32:$C59,AP60)&lt;$B$6,IF($BI60,COUNTIF($C$32:$C59,AP60)&lt;IF($B$3="Stage 1",MIN($B$6,MAX(1,INT($B$5/$B$11))),IF(AND($B$3="Stage 3",$B$5=20,$B$11&gt;11),1,IF(AND($B$3="Stage 3",OR($B$15="Year 10-11-12 Girls"),$B$5&gt;20),MAX(2,Setup!$B$14),Setup!$B$14))),IF(AND($B$3&lt;&gt;"Stage 2",$B$3&lt;&gt;"Stage 3"),TRUE,IF($U60,TRUE,COUNTIF($C$32:$C59,AP60)&lt;IF(AND($B$3="Stage 2",$B$5=20,AP60=$E$5,$A60&lt;=IF($B$8="One Keeper",$B$5,$B$8)),2,IF(AND(OR($B$3="Stage 2",AND($B$3="Stage 3",OR($B$15="Year 10-11-12 Girls"))),AP60=$E$5,$A60&lt;=IF($B$8="One Keeper",$B$5,$B$8)),3,$B$9)))))))</f>
        <v>0</v>
      </c>
      <c r="BD60" s="20" t="b">
        <f>IF(AQ60="",FALSE,AND(AQ60&lt;&gt;$B60,AQ60&lt;&gt;$C59,IFERROR(INDEX($E$18:$E$30,MATCH(AQ60,$B$18:$B$30,0)),"No")="Yes",IF(AND(OR($B$3="Stage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Girls"))),$B$5&gt;20),MIN(3,MAX(2,Setup!$B$14)),2))*2),AQ60=$E$5,IF(AND(OR($B$3="Stage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Girls"))),$B$5&gt;20),MIN(3,MAX(2,Setup!$B$14)),2))*2-1))),AQ60=$E$4,TRUE)),COUNTIF($C$32:$C59,AQ60)&lt;$B$6,IF($BI60,COUNTIF($C$32:$C59,AQ60)&lt;IF($B$3="Stage 1",MIN($B$6,MAX(1,INT($B$5/$B$11))),IF(AND($B$3="Stage 3",$B$5=20,$B$11&gt;11),1,IF(AND($B$3="Stage 3",OR($B$15="Year 10-11-12 Girls"),$B$5&gt;20),MAX(2,Setup!$B$14),Setup!$B$14))),IF(AND($B$3&lt;&gt;"Stage 2",$B$3&lt;&gt;"Stage 3"),TRUE,IF($U60,TRUE,COUNTIF($C$32:$C59,AQ60)&lt;IF(AND($B$3="Stage 2",$B$5=20,AQ60=$E$5,$A60&lt;=IF($B$8="One Keeper",$B$5,$B$8)),2,IF(AND(OR($B$3="Stage 2",AND($B$3="Stage 3",OR($B$15="Year 10-11-12 Girls"))),AQ60=$E$5,$A60&lt;=IF($B$8="One Keeper",$B$5,$B$8)),3,$B$9)))))))</f>
        <v>0</v>
      </c>
      <c r="BE60" s="20" t="b">
        <f>IF(AR60="",FALSE,AND(AR60&lt;&gt;$B60,AR60&lt;&gt;$C59,IFERROR(INDEX($E$18:$E$30,MATCH(AR60,$B$18:$B$30,0)),"No")="Yes",IF(AND(OR($B$3="Stage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Girls"))),$B$5&gt;20),MIN(3,MAX(2,Setup!$B$14)),2))*2),AR60=$E$5,IF(AND(OR($B$3="Stage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Girls"))),$B$5&gt;20),MIN(3,MAX(2,Setup!$B$14)),2))*2-1))),AR60=$E$4,TRUE)),COUNTIF($C$32:$C59,AR60)&lt;$B$6,IF($BI60,COUNTIF($C$32:$C59,AR60)&lt;IF($B$3="Stage 1",MIN($B$6,MAX(1,INT($B$5/$B$11))),IF(AND($B$3="Stage 3",$B$5=20,$B$11&gt;11),1,IF(AND($B$3="Stage 3",OR($B$15="Year 10-11-12 Girls"),$B$5&gt;20),MAX(2,Setup!$B$14),Setup!$B$14))),IF(AND($B$3&lt;&gt;"Stage 2",$B$3&lt;&gt;"Stage 3"),TRUE,IF($U60,TRUE,COUNTIF($C$32:$C59,AR60)&lt;IF(AND($B$3="Stage 2",$B$5=20,AR60=$E$5,$A60&lt;=IF($B$8="One Keeper",$B$5,$B$8)),2,IF(AND(OR($B$3="Stage 2",AND($B$3="Stage 3",OR($B$15="Year 10-11-12 Girls"))),AR60=$E$5,$A60&lt;=IF($B$8="One Keeper",$B$5,$B$8)),3,$B$9)))))))</f>
        <v>0</v>
      </c>
      <c r="BF60" s="20" t="b">
        <f>IF(AS60="",FALSE,AND(AS60&lt;&gt;$B60,AS60&lt;&gt;$C59,IFERROR(INDEX($E$18:$E$30,MATCH(AS60,$B$18:$B$30,0)),"No")="Yes",IF(AND(OR($B$3="Stage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Girls"))),$B$5&gt;20),MIN(3,MAX(2,Setup!$B$14)),2))*2),AS60=$E$5,IF(AND(OR($B$3="Stage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Girls"))),$B$5&gt;20),MIN(3,MAX(2,Setup!$B$14)),2))*2-1))),AS60=$E$4,TRUE)),COUNTIF($C$32:$C59,AS60)&lt;$B$6,IF($BI60,COUNTIF($C$32:$C59,AS60)&lt;IF($B$3="Stage 1",MIN($B$6,MAX(1,INT($B$5/$B$11))),IF(AND($B$3="Stage 3",$B$5=20,$B$11&gt;11),1,IF(AND($B$3="Stage 3",OR($B$15="Year 10-11-12 Girls"),$B$5&gt;20),MAX(2,Setup!$B$14),Setup!$B$14))),IF(AND($B$3&lt;&gt;"Stage 2",$B$3&lt;&gt;"Stage 3"),TRUE,IF($U60,TRUE,COUNTIF($C$32:$C59,AS60)&lt;IF(AND($B$3="Stage 2",$B$5=20,AS60=$E$5,$A60&lt;=IF($B$8="One Keeper",$B$5,$B$8)),2,IF(AND(OR($B$3="Stage 2",AND($B$3="Stage 3",OR($B$15="Year 10-11-12 Girls"))),AS60=$E$5,$A60&lt;=IF($B$8="One Keeper",$B$5,$B$8)),3,$B$9)))))))</f>
        <v>0</v>
      </c>
      <c r="BG60" s="20" t="b">
        <f>IF(AT60="",FALSE,AND(AT60&lt;&gt;$B60,AT60&lt;&gt;$C59,IFERROR(INDEX($E$18:$E$30,MATCH(AT60,$B$18:$B$30,0)),"No")="Yes",IF(AND(OR($B$3="Stage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Girls"))),$B$5&gt;20),MIN(3,MAX(2,Setup!$B$14)),2))*2),AT60=$E$5,IF(AND(OR($B$3="Stage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Girls"))),$B$5&gt;20),MIN(3,MAX(2,Setup!$B$14)),2))*2-1))),AT60=$E$4,TRUE)),COUNTIF($C$32:$C59,AT60)&lt;$B$6,IF($BI60,COUNTIF($C$32:$C59,AT60)&lt;IF($B$3="Stage 1",MIN($B$6,MAX(1,INT($B$5/$B$11))),IF(AND($B$3="Stage 3",$B$5=20,$B$11&gt;11),1,IF(AND($B$3="Stage 3",OR($B$15="Year 10-11-12 Girls"),$B$5&gt;20),MAX(2,Setup!$B$14),Setup!$B$14))),IF(AND($B$3&lt;&gt;"Stage 2",$B$3&lt;&gt;"Stage 3"),TRUE,IF($U60,TRUE,COUNTIF($C$32:$C59,AT60)&lt;IF(AND($B$3="Stage 2",$B$5=20,AT60=$E$5,$A60&lt;=IF($B$8="One Keeper",$B$5,$B$8)),2,IF(AND(OR($B$3="Stage 2",AND($B$3="Stage 3",OR($B$15="Year 10-11-12 Girls"))),AT60=$E$5,$A60&lt;=IF($B$8="One Keeper",$B$5,$B$8)),3,$B$9)))))))</f>
        <v>0</v>
      </c>
      <c r="BH60" s="20" t="b">
        <f>IF(AU60="",FALSE,AND(AU60&lt;&gt;$B60,AU60&lt;&gt;$C59,IFERROR(INDEX($E$18:$E$30,MATCH(AU60,$B$18:$B$30,0)),"No")="Yes",IF(AND(OR($B$3="Stage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Girls"))),$B$5&gt;20),MIN(3,MAX(2,Setup!$B$14)),2))*2),AU60=$E$5,IF(AND(OR($B$3="Stage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Girls"))),$B$5&gt;20),MIN(3,MAX(2,Setup!$B$14)),2))*2-1))),AU60=$E$4,TRUE)),COUNTIF($C$32:$C59,AU60)&lt;$B$6,IF($BI60,COUNTIF($C$32:$C59,AU60)&lt;IF($B$3="Stage 1",MIN($B$6,MAX(1,INT($B$5/$B$11))),IF(AND($B$3="Stage 3",$B$5=20,$B$11&gt;11),1,IF(AND($B$3="Stage 3",OR($B$15="Year 10-11-12 Girls"),$B$5&gt;20),MAX(2,Setup!$B$14),Setup!$B$14))),IF(AND($B$3&lt;&gt;"Stage 2",$B$3&lt;&gt;"Stage 3"),TRUE,IF($U60,TRUE,COUNTIF($C$32:$C59,AU60)&lt;IF(AND($B$3="Stage 2",$B$5=20,AU60=$E$5,$A60&lt;=IF($B$8="One Keeper",$B$5,$B$8)),2,IF(AND(OR($B$3="Stage 2",AND($B$3="Stage 3",OR($B$15="Year 10-11-12 Girls"))),AU60=$E$5,$A60&lt;=IF($B$8="One Keeper",$B$5,$B$8)),3,$B$9)))))))</f>
        <v>0</v>
      </c>
      <c r="BI60"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Keeper",$E$4&lt;&gt;$E$5,$A60&lt;=IF($B$8="One Keeper",$B$5,$B$8),COUNTIF($C$32:$C59,$E$5)&lt;IF(AND($B$3="Stage 3",$B$5=20,$B$11&gt;11),1,IF(AND(OR($B$3="Stage 2",AND($B$3="Stage 3",OR($B$15="Year 10-11-12 Girls"))),$B$5&gt;20),MIN(3,MAX(2,Setup!$B$14)),2)),IFERROR(INDEX($E$18:$E$30,MATCH($E$5,$B$18:$B$30,0)),"No")="Yes",$C59&lt;&gt;$E$5,MOD($A60,2)=0,$A60&lt;=IF(AND($B$3="Stage 3",$B$5=20,$B$11&gt;11),1,IF(AND(OR($B$3="Stage 2",AND($B$3="Stage 3",OR($B$15="Year 10-11-12 Girls"))),$B$5&gt;20),MIN(3,MAX(2,Setup!$B$14)),2))*2),AND(OR($B$3="Stage 1",$B$3="Stage 2",AND($B$3="Stage 3",OR(OR($B$15="Year 10-11-12 Girls"),OR($B$15="Year 8 Boys",$B$15="Year 9 Boys",$B$15="Year 10-11 Boys")))),$B$8&lt;&gt;"One Keeper",$E$4&lt;&gt;$E$5,$A60&gt;IF($B$8="One Keeper",$B$5,$B$8),COUNTIF($C$32:$C59,$E$4)&lt;IF(AND($B$3="Stage 3",$B$5=20,$B$11&gt;11),1,IF(AND(OR($B$3="Stage 2",AND($B$3="Stage 3",OR($B$15="Year 10-11-12 Girls"))),$B$5&gt;20),MIN(3,MAX(2,Setup!$B$14)),2)),IFERROR(INDEX($E$18:$E$30,MATCH($E$4,$B$18:$B$30,0)),"No")="Yes",$C59&lt;&gt;$E$4,IF($B$7="Three-over spell",AND(MOD($A60-IF($B$8="One Keeper",$B$5,$B$8)-1,3)=0,($A60-IF($B$8="One Keeper",$B$5,$B$8))&lt;=1+(IF(AND($B$3="Stage 3",$B$5=20,$B$11&gt;11),1,IF(AND(OR($B$3="Stage 2",AND($B$3="Stage 3",OR($B$15="Year 10-11-12 Girls"))),$B$5&gt;20),MIN(3,MAX(2,Setup!$B$14)),2))-1)*3),AND(MOD($A60-IF($B$8="One Keeper",$B$5,$B$8),2)=1,($A60-IF($B$8="One Keeper",$B$5,$B$8))&lt;=IF(AND($B$3="Stage 3",$B$5=20,$B$11&gt;11),1,IF(AND(OR($B$3="Stage 2",AND($B$3="Stage 3",OR($B$15="Year 10-11-12 Girls"))),$B$5&gt;20),MIN(3,MAX(2,Setup!$B$14)),2))*2-1))))),OR($U60,AND($B$3="Stage 3",$B$5=20,$B$11&gt;11)),OR($BJ60,$BK60,$BL60,$BM60,$BN60,$BO60,$BP60,$BQ60,$BR60,$BS60,$BT60,$BU60,$BV60))</f>
        <v>0</v>
      </c>
      <c r="BJ60" s="20" t="b">
        <f>IF(AI60="",FALSE,AND(AI60&lt;&gt;IF(AND($B$3="Stage 3",OR($B$15="Year 8 Boys",$B$15="Year 9 Boys",$B$15="Year 10-11 Boys"),$B$8="One Keeper"),$E$4,""),AI60&lt;&gt;$B60,AI60&lt;&gt;$C59,IFERROR(INDEX($E$18:$E$30,MATCH(AI60,$B$18:$B$30,0)),"No")="Yes",COUNTIF($C$32:$C59,AI60)&lt;$B$6,COUNTIF($C$32:$C59,AI60)&lt;IF($B$3="Stage 1",MIN($B$6,MAX(1,INT($B$5/$B$11))),IF(AND($B$3="Stage 3",$B$5=20,$B$11&gt;11),1,IF(AND($B$3="Stage 3",OR($B$15="Year 10-11-12 Girls"),$B$5&gt;20),MAX(2,Setup!$B$14),Setup!$B$14)))))</f>
        <v>0</v>
      </c>
      <c r="BK60" s="20" t="b">
        <f>IF(AJ60="",FALSE,AND(AJ60&lt;&gt;IF(AND($B$3="Stage 3",OR($B$15="Year 8 Boys",$B$15="Year 9 Boys",$B$15="Year 10-11 Boys"),$B$8="One Keeper"),$E$4,""),AJ60&lt;&gt;$B60,AJ60&lt;&gt;$C59,IFERROR(INDEX($E$18:$E$30,MATCH(AJ60,$B$18:$B$30,0)),"No")="Yes",COUNTIF($C$32:$C59,AJ60)&lt;$B$6,COUNTIF($C$32:$C59,AJ60)&lt;IF($B$3="Stage 1",MIN($B$6,MAX(1,INT($B$5/$B$11))),IF(AND($B$3="Stage 3",$B$5=20,$B$11&gt;11),1,IF(AND($B$3="Stage 3",OR($B$15="Year 10-11-12 Girls"),$B$5&gt;20),MAX(2,Setup!$B$14),Setup!$B$14)))))</f>
        <v>0</v>
      </c>
      <c r="BL60" s="20" t="b">
        <f>IF(AK60="",FALSE,AND(AK60&lt;&gt;IF(AND($B$3="Stage 3",OR($B$15="Year 8 Boys",$B$15="Year 9 Boys",$B$15="Year 10-11 Boys"),$B$8="One Keeper"),$E$4,""),AK60&lt;&gt;$B60,AK60&lt;&gt;$C59,IFERROR(INDEX($E$18:$E$30,MATCH(AK60,$B$18:$B$30,0)),"No")="Yes",COUNTIF($C$32:$C59,AK60)&lt;$B$6,COUNTIF($C$32:$C59,AK60)&lt;IF($B$3="Stage 1",MIN($B$6,MAX(1,INT($B$5/$B$11))),IF(AND($B$3="Stage 3",$B$5=20,$B$11&gt;11),1,IF(AND($B$3="Stage 3",OR($B$15="Year 10-11-12 Girls"),$B$5&gt;20),MAX(2,Setup!$B$14),Setup!$B$14)))))</f>
        <v>0</v>
      </c>
      <c r="BM60" s="20" t="b">
        <f>IF(AL60="",FALSE,AND(AL60&lt;&gt;IF(AND($B$3="Stage 3",OR($B$15="Year 8 Boys",$B$15="Year 9 Boys",$B$15="Year 10-11 Boys"),$B$8="One Keeper"),$E$4,""),AL60&lt;&gt;$B60,AL60&lt;&gt;$C59,IFERROR(INDEX($E$18:$E$30,MATCH(AL60,$B$18:$B$30,0)),"No")="Yes",COUNTIF($C$32:$C59,AL60)&lt;$B$6,COUNTIF($C$32:$C59,AL60)&lt;IF($B$3="Stage 1",MIN($B$6,MAX(1,INT($B$5/$B$11))),IF(AND($B$3="Stage 3",$B$5=20,$B$11&gt;11),1,IF(AND($B$3="Stage 3",OR($B$15="Year 10-11-12 Girls"),$B$5&gt;20),MAX(2,Setup!$B$14),Setup!$B$14)))))</f>
        <v>0</v>
      </c>
      <c r="BN60" s="20" t="b">
        <f>IF(AM60="",FALSE,AND(AM60&lt;&gt;IF(AND($B$3="Stage 3",OR($B$15="Year 8 Boys",$B$15="Year 9 Boys",$B$15="Year 10-11 Boys"),$B$8="One Keeper"),$E$4,""),AM60&lt;&gt;$B60,AM60&lt;&gt;$C59,IFERROR(INDEX($E$18:$E$30,MATCH(AM60,$B$18:$B$30,0)),"No")="Yes",COUNTIF($C$32:$C59,AM60)&lt;$B$6,COUNTIF($C$32:$C59,AM60)&lt;IF($B$3="Stage 1",MIN($B$6,MAX(1,INT($B$5/$B$11))),IF(AND($B$3="Stage 3",$B$5=20,$B$11&gt;11),1,IF(AND($B$3="Stage 3",OR($B$15="Year 10-11-12 Girls"),$B$5&gt;20),MAX(2,Setup!$B$14),Setup!$B$14)))))</f>
        <v>0</v>
      </c>
      <c r="BO60" s="20" t="b">
        <f>IF(AN60="",FALSE,AND(AN60&lt;&gt;IF(AND($B$3="Stage 3",OR($B$15="Year 8 Boys",$B$15="Year 9 Boys",$B$15="Year 10-11 Boys"),$B$8="One Keeper"),$E$4,""),AN60&lt;&gt;$B60,AN60&lt;&gt;$C59,IFERROR(INDEX($E$18:$E$30,MATCH(AN60,$B$18:$B$30,0)),"No")="Yes",COUNTIF($C$32:$C59,AN60)&lt;$B$6,COUNTIF($C$32:$C59,AN60)&lt;IF($B$3="Stage 1",MIN($B$6,MAX(1,INT($B$5/$B$11))),IF(AND($B$3="Stage 3",$B$5=20,$B$11&gt;11),1,IF(AND($B$3="Stage 3",OR($B$15="Year 10-11-12 Girls"),$B$5&gt;20),MAX(2,Setup!$B$14),Setup!$B$14)))))</f>
        <v>0</v>
      </c>
      <c r="BP60" s="20" t="b">
        <f>IF(AO60="",FALSE,AND(AO60&lt;&gt;IF(AND($B$3="Stage 3",OR($B$15="Year 8 Boys",$B$15="Year 9 Boys",$B$15="Year 10-11 Boys"),$B$8="One Keeper"),$E$4,""),AO60&lt;&gt;$B60,AO60&lt;&gt;$C59,IFERROR(INDEX($E$18:$E$30,MATCH(AO60,$B$18:$B$30,0)),"No")="Yes",COUNTIF($C$32:$C59,AO60)&lt;$B$6,COUNTIF($C$32:$C59,AO60)&lt;IF($B$3="Stage 1",MIN($B$6,MAX(1,INT($B$5/$B$11))),IF(AND($B$3="Stage 3",$B$5=20,$B$11&gt;11),1,IF(AND($B$3="Stage 3",OR($B$15="Year 10-11-12 Girls"),$B$5&gt;20),MAX(2,Setup!$B$14),Setup!$B$14)))))</f>
        <v>0</v>
      </c>
      <c r="BQ60" s="20" t="b">
        <f>IF(AP60="",FALSE,AND(AP60&lt;&gt;IF(AND($B$3="Stage 3",OR($B$15="Year 8 Boys",$B$15="Year 9 Boys",$B$15="Year 10-11 Boys"),$B$8="One Keeper"),$E$4,""),AP60&lt;&gt;$B60,AP60&lt;&gt;$C59,IFERROR(INDEX($E$18:$E$30,MATCH(AP60,$B$18:$B$30,0)),"No")="Yes",COUNTIF($C$32:$C59,AP60)&lt;$B$6,COUNTIF($C$32:$C59,AP60)&lt;IF($B$3="Stage 1",MIN($B$6,MAX(1,INT($B$5/$B$11))),IF(AND($B$3="Stage 3",$B$5=20,$B$11&gt;11),1,IF(AND($B$3="Stage 3",OR($B$15="Year 10-11-12 Girls"),$B$5&gt;20),MAX(2,Setup!$B$14),Setup!$B$14)))))</f>
        <v>0</v>
      </c>
      <c r="BR60" s="20" t="b">
        <f>IF(AQ60="",FALSE,AND(AQ60&lt;&gt;IF(AND($B$3="Stage 3",OR($B$15="Year 8 Boys",$B$15="Year 9 Boys",$B$15="Year 10-11 Boys"),$B$8="One Keeper"),$E$4,""),AQ60&lt;&gt;$B60,AQ60&lt;&gt;$C59,IFERROR(INDEX($E$18:$E$30,MATCH(AQ60,$B$18:$B$30,0)),"No")="Yes",COUNTIF($C$32:$C59,AQ60)&lt;$B$6,COUNTIF($C$32:$C59,AQ60)&lt;IF($B$3="Stage 1",MIN($B$6,MAX(1,INT($B$5/$B$11))),IF(AND($B$3="Stage 3",$B$5=20,$B$11&gt;11),1,IF(AND($B$3="Stage 3",OR($B$15="Year 10-11-12 Girls"),$B$5&gt;20),MAX(2,Setup!$B$14),Setup!$B$14)))))</f>
        <v>0</v>
      </c>
      <c r="BS60" s="20" t="b">
        <f>IF(AR60="",FALSE,AND(AR60&lt;&gt;IF(AND($B$3="Stage 3",OR($B$15="Year 8 Boys",$B$15="Year 9 Boys",$B$15="Year 10-11 Boys"),$B$8="One Keeper"),$E$4,""),AR60&lt;&gt;$B60,AR60&lt;&gt;$C59,IFERROR(INDEX($E$18:$E$30,MATCH(AR60,$B$18:$B$30,0)),"No")="Yes",COUNTIF($C$32:$C59,AR60)&lt;$B$6,COUNTIF($C$32:$C59,AR60)&lt;IF($B$3="Stage 1",MIN($B$6,MAX(1,INT($B$5/$B$11))),IF(AND($B$3="Stage 3",$B$5=20,$B$11&gt;11),1,IF(AND($B$3="Stage 3",OR($B$15="Year 10-11-12 Girls"),$B$5&gt;20),MAX(2,Setup!$B$14),Setup!$B$14)))))</f>
        <v>0</v>
      </c>
      <c r="BT60" s="20" t="b">
        <f>IF(AS60="",FALSE,AND(AS60&lt;&gt;IF(AND($B$3="Stage 3",OR($B$15="Year 8 Boys",$B$15="Year 9 Boys",$B$15="Year 10-11 Boys"),$B$8="One Keeper"),$E$4,""),AS60&lt;&gt;$B60,AS60&lt;&gt;$C59,IFERROR(INDEX($E$18:$E$30,MATCH(AS60,$B$18:$B$30,0)),"No")="Yes",COUNTIF($C$32:$C59,AS60)&lt;$B$6,COUNTIF($C$32:$C59,AS60)&lt;IF($B$3="Stage 1",MIN($B$6,MAX(1,INT($B$5/$B$11))),IF(AND($B$3="Stage 3",$B$5=20,$B$11&gt;11),1,IF(AND($B$3="Stage 3",OR($B$15="Year 10-11-12 Girls"),$B$5&gt;20),MAX(2,Setup!$B$14),Setup!$B$14)))))</f>
        <v>0</v>
      </c>
      <c r="BU60" s="20" t="b">
        <f>IF(AT60="",FALSE,AND(AT60&lt;&gt;IF(AND($B$3="Stage 3",OR($B$15="Year 8 Boys",$B$15="Year 9 Boys",$B$15="Year 10-11 Boys"),$B$8="One Keeper"),$E$4,""),AT60&lt;&gt;$B60,AT60&lt;&gt;$C59,IFERROR(INDEX($E$18:$E$30,MATCH(AT60,$B$18:$B$30,0)),"No")="Yes",COUNTIF($C$32:$C59,AT60)&lt;$B$6,COUNTIF($C$32:$C59,AT60)&lt;IF($B$3="Stage 1",MIN($B$6,MAX(1,INT($B$5/$B$11))),IF(AND($B$3="Stage 3",$B$5=20,$B$11&gt;11),1,IF(AND($B$3="Stage 3",OR($B$15="Year 10-11-12 Girls"),$B$5&gt;20),MAX(2,Setup!$B$14),Setup!$B$14)))))</f>
        <v>0</v>
      </c>
      <c r="BV60" s="20" t="b">
        <f>IF(AU60="",FALSE,AND(AU60&lt;&gt;IF(AND($B$3="Stage 3",OR($B$15="Year 8 Boys",$B$15="Year 9 Boys",$B$15="Year 10-11 Boys"),$B$8="One Keeper"),$E$4,""),AU60&lt;&gt;$B60,AU60&lt;&gt;$C59,IFERROR(INDEX($E$18:$E$30,MATCH(AU60,$B$18:$B$30,0)),"No")="Yes",COUNTIF($C$32:$C59,AU60)&lt;$B$6,COUNTIF($C$32:$C59,AU60)&lt;IF($B$3="Stage 1",MIN($B$6,MAX(1,INT($B$5/$B$11))),IF(AND($B$3="Stage 3",$B$5=20,$B$11&gt;11),1,IF(AND($B$3="Stage 3",OR($B$15="Year 10-11-12 Girls"),$B$5&gt;20),MAX(2,Setup!$B$14),Setup!$B$14)))))</f>
        <v>0</v>
      </c>
      <c r="BW60" s="20"/>
      <c r="BX60" s="20"/>
      <c r="BY60" s="20"/>
      <c r="BZ60" s="20"/>
      <c r="CA60" s="20"/>
      <c r="CB60" s="20"/>
      <c r="CC60" s="20"/>
      <c r="CD60" s="20"/>
      <c r="CE60" s="20"/>
      <c r="CF60" s="20"/>
      <c r="CG60" s="20"/>
      <c r="CH60" s="20"/>
      <c r="CI60" s="20"/>
      <c r="CJ60" s="20"/>
      <c r="CK60" s="20"/>
    </row>
    <row r="61" spans="1:89" ht="15" customHeight="1">
      <c r="A61" s="18">
        <v>30</v>
      </c>
      <c r="B61" s="18" t="str">
        <f t="shared" si="5"/>
        <v/>
      </c>
      <c r="C61" s="18" t="str">
        <f t="shared" si="6"/>
        <v/>
      </c>
      <c r="D61" s="18">
        <f t="shared" si="7"/>
        <v>8</v>
      </c>
      <c r="E61" s="18" t="str">
        <f>IF($C61="","",COUNTIF($C$32:C61,$C61))</f>
        <v/>
      </c>
      <c r="F61" s="18" t="str">
        <f t="shared" si="8"/>
        <v/>
      </c>
      <c r="T61" s="20" t="str">
        <f t="shared" si="15"/>
        <v/>
      </c>
      <c r="U61" s="20" t="b">
        <f>IF(OR($B$3="Stage 2",AND($B$3="Stage 3",OR($B$15="Year 10-11-12 Girls"))),(IF(AND($P$18&lt;&gt;"",$P$18&lt;&gt;$E$4,COUNTIF($C$32:$C60,$P$18)&gt;=2),1,0)+IF(AND($P$19&lt;&gt;"",$P$19&lt;&gt;$E$4,COUNTIF($C$32:$C60,$P$19)&gt;=2),1,0)+IF(AND($P$20&lt;&gt;"",$P$20&lt;&gt;$E$4,COUNTIF($C$32:$C60,$P$20)&gt;=2),1,0)+IF(AND($P$21&lt;&gt;"",$P$21&lt;&gt;$E$4,COUNTIF($C$32:$C60,$P$21)&gt;=2),1,0)+IF(AND($P$22&lt;&gt;"",$P$22&lt;&gt;$E$4,COUNTIF($C$32:$C60,$P$22)&gt;=2),1,0)+IF(AND($P$23&lt;&gt;"",$P$23&lt;&gt;$E$4,COUNTIF($C$32:$C60,$P$23)&gt;=2),1,0)+IF(AND($P$24&lt;&gt;"",$P$24&lt;&gt;$E$4,COUNTIF($C$32:$C60,$P$24)&gt;=2),1,0)+IF(AND($P$25&lt;&gt;"",$P$25&lt;&gt;$E$4,COUNTIF($C$32:$C60,$P$25)&gt;=2),1,0)+IF(AND($P$26&lt;&gt;"",$P$26&lt;&gt;$E$4,COUNTIF($C$32:$C60,$P$26)&gt;=2),1,0)+IF(AND($P$27&lt;&gt;"",$P$27&lt;&gt;$E$4,COUNTIF($C$32:$C60,$P$27)&gt;=2),1,0)+IF(AND($P$28&lt;&gt;"",$P$28&lt;&gt;$E$4,COUNTIF($C$32:$C60,$P$28)&gt;=2),1,0)+IF(AND($P$29&lt;&gt;"",$P$29&lt;&gt;$E$4,COUNTIF($C$32:$C60,$P$29)&gt;=2),1,0)+IF(AND($P$30&lt;&gt;"",$P$30&lt;&gt;$E$4,COUNTIF($C$32:$C60,$P$30)&gt;=2),1,0))&gt;=MAX(0,$B$11-1),IF(AND($B$3="Stage 3",OR($B$15="Year 8 Boys",$B$15="Year 9 Boys",$B$15="Year 10-11 Boys")),(IF(AND($P$18&lt;&gt;"",COUNTIF($C$32:$C60,$P$18)&gt;=2),1,0)+IF(AND($P$19&lt;&gt;"",COUNTIF($C$32:$C60,$P$19)&gt;=2),1,0)+IF(AND($P$20&lt;&gt;"",COUNTIF($C$32:$C60,$P$20)&gt;=2),1,0)+IF(AND($P$21&lt;&gt;"",COUNTIF($C$32:$C60,$P$21)&gt;=2),1,0)+IF(AND($P$22&lt;&gt;"",COUNTIF($C$32:$C60,$P$22)&gt;=2),1,0)+IF(AND($P$23&lt;&gt;"",COUNTIF($C$32:$C60,$P$23)&gt;=2),1,0)+IF(AND($P$24&lt;&gt;"",COUNTIF($C$32:$C60,$P$24)&gt;=2),1,0)+IF(AND($P$25&lt;&gt;"",COUNTIF($C$32:$C60,$P$25)&gt;=2),1,0)+IF(AND($P$26&lt;&gt;"",COUNTIF($C$32:$C60,$P$26)&gt;=2),1,0)+IF(AND($P$27&lt;&gt;"",COUNTIF($C$32:$C60,$P$27)&gt;=2),1,0)+IF(AND($P$28&lt;&gt;"",COUNTIF($C$32:$C60,$P$28)&gt;=2),1,0)+IF(AND($P$29&lt;&gt;"",COUNTIF($C$32:$C60,$P$29)&gt;=2),1,0)+IF(AND($P$30&lt;&gt;"",COUNTIF($C$32:$C60,$P$30)&gt;=2),1,0))&gt;=7,TRUE))</f>
        <v>1</v>
      </c>
      <c r="V61" s="20" t="str">
        <f t="shared" si="31"/>
        <v/>
      </c>
      <c r="W61" s="20" t="str">
        <f t="shared" si="31"/>
        <v/>
      </c>
      <c r="X61" s="20" t="str">
        <f t="shared" si="31"/>
        <v/>
      </c>
      <c r="Y61" s="20" t="str">
        <f t="shared" si="31"/>
        <v/>
      </c>
      <c r="Z61" s="20" t="str">
        <f t="shared" si="31"/>
        <v/>
      </c>
      <c r="AA61" s="20" t="str">
        <f t="shared" si="31"/>
        <v/>
      </c>
      <c r="AB61" s="20" t="str">
        <f t="shared" si="31"/>
        <v/>
      </c>
      <c r="AC61" s="20" t="str">
        <f t="shared" si="31"/>
        <v/>
      </c>
      <c r="AD61" s="20" t="str">
        <f t="shared" si="31"/>
        <v/>
      </c>
      <c r="AE61" s="20" t="str">
        <f t="shared" si="31"/>
        <v/>
      </c>
      <c r="AF61" s="20" t="str">
        <f t="shared" si="31"/>
        <v/>
      </c>
      <c r="AG61" s="20" t="str">
        <f t="shared" si="31"/>
        <v/>
      </c>
      <c r="AH61" s="20" t="str">
        <f t="shared" si="31"/>
        <v/>
      </c>
      <c r="AI61" s="20" t="str">
        <f t="shared" si="17"/>
        <v/>
      </c>
      <c r="AJ61" s="20" t="str">
        <f t="shared" si="18"/>
        <v/>
      </c>
      <c r="AK61" s="20" t="str">
        <f t="shared" si="19"/>
        <v/>
      </c>
      <c r="AL61" s="20" t="str">
        <f t="shared" si="20"/>
        <v/>
      </c>
      <c r="AM61" s="20" t="str">
        <f t="shared" si="21"/>
        <v/>
      </c>
      <c r="AN61" s="20" t="str">
        <f t="shared" si="22"/>
        <v/>
      </c>
      <c r="AO61" s="20" t="str">
        <f t="shared" si="23"/>
        <v/>
      </c>
      <c r="AP61" s="20" t="str">
        <f t="shared" si="24"/>
        <v/>
      </c>
      <c r="AQ61" s="20" t="str">
        <f t="shared" si="25"/>
        <v/>
      </c>
      <c r="AR61" s="20" t="str">
        <f t="shared" si="26"/>
        <v/>
      </c>
      <c r="AS61" s="20" t="str">
        <f t="shared" si="27"/>
        <v/>
      </c>
      <c r="AT61" s="20" t="str">
        <f t="shared" si="28"/>
        <v/>
      </c>
      <c r="AU61" s="20" t="str">
        <f t="shared" si="29"/>
        <v/>
      </c>
      <c r="AV61" s="20" t="b">
        <f>IF(AI61="",FALSE,AND(AI61&lt;&gt;$B61,AI61&lt;&gt;$C60,IFERROR(INDEX($E$18:$E$30,MATCH(AI61,$B$18:$B$30,0)),"No")="Yes",IF(AND(OR($B$3="Stage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Girls"))),$B$5&gt;20),MIN(3,MAX(2,Setup!$B$14)),2))*2),AI61=$E$5,IF(AND(OR($B$3="Stage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Girls"))),$B$5&gt;20),MIN(3,MAX(2,Setup!$B$14)),2))*2-1))),AI61=$E$4,TRUE)),COUNTIF($C$32:$C60,AI61)&lt;$B$6,IF($BI61,COUNTIF($C$32:$C60,AI61)&lt;IF($B$3="Stage 1",MIN($B$6,MAX(1,INT($B$5/$B$11))),IF(AND($B$3="Stage 3",$B$5=20,$B$11&gt;11),1,IF(AND($B$3="Stage 3",OR($B$15="Year 10-11-12 Girls"),$B$5&gt;20),MAX(2,Setup!$B$14),Setup!$B$14))),IF(AND($B$3&lt;&gt;"Stage 2",$B$3&lt;&gt;"Stage 3"),TRUE,IF($U61,TRUE,COUNTIF($C$32:$C60,AI61)&lt;IF(AND($B$3="Stage 2",$B$5=20,AI61=$E$5,$A61&lt;=IF($B$8="One Keeper",$B$5,$B$8)),2,IF(AND(OR($B$3="Stage 2",AND($B$3="Stage 3",OR($B$15="Year 10-11-12 Girls"))),AI61=$E$5,$A61&lt;=IF($B$8="One Keeper",$B$5,$B$8)),3,$B$9)))))))</f>
        <v>0</v>
      </c>
      <c r="AW61" s="20" t="b">
        <f>IF(AJ61="",FALSE,AND(AJ61&lt;&gt;$B61,AJ61&lt;&gt;$C60,IFERROR(INDEX($E$18:$E$30,MATCH(AJ61,$B$18:$B$30,0)),"No")="Yes",IF(AND(OR($B$3="Stage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Girls"))),$B$5&gt;20),MIN(3,MAX(2,Setup!$B$14)),2))*2),AJ61=$E$5,IF(AND(OR($B$3="Stage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Girls"))),$B$5&gt;20),MIN(3,MAX(2,Setup!$B$14)),2))*2-1))),AJ61=$E$4,TRUE)),COUNTIF($C$32:$C60,AJ61)&lt;$B$6,IF($BI61,COUNTIF($C$32:$C60,AJ61)&lt;IF($B$3="Stage 1",MIN($B$6,MAX(1,INT($B$5/$B$11))),IF(AND($B$3="Stage 3",$B$5=20,$B$11&gt;11),1,IF(AND($B$3="Stage 3",OR($B$15="Year 10-11-12 Girls"),$B$5&gt;20),MAX(2,Setup!$B$14),Setup!$B$14))),IF(AND($B$3&lt;&gt;"Stage 2",$B$3&lt;&gt;"Stage 3"),TRUE,IF($U61,TRUE,COUNTIF($C$32:$C60,AJ61)&lt;IF(AND($B$3="Stage 2",$B$5=20,AJ61=$E$5,$A61&lt;=IF($B$8="One Keeper",$B$5,$B$8)),2,IF(AND(OR($B$3="Stage 2",AND($B$3="Stage 3",OR($B$15="Year 10-11-12 Girls"))),AJ61=$E$5,$A61&lt;=IF($B$8="One Keeper",$B$5,$B$8)),3,$B$9)))))))</f>
        <v>0</v>
      </c>
      <c r="AX61" s="20" t="b">
        <f>IF(AK61="",FALSE,AND(AK61&lt;&gt;$B61,AK61&lt;&gt;$C60,IFERROR(INDEX($E$18:$E$30,MATCH(AK61,$B$18:$B$30,0)),"No")="Yes",IF(AND(OR($B$3="Stage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Girls"))),$B$5&gt;20),MIN(3,MAX(2,Setup!$B$14)),2))*2),AK61=$E$5,IF(AND(OR($B$3="Stage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Girls"))),$B$5&gt;20),MIN(3,MAX(2,Setup!$B$14)),2))*2-1))),AK61=$E$4,TRUE)),COUNTIF($C$32:$C60,AK61)&lt;$B$6,IF($BI61,COUNTIF($C$32:$C60,AK61)&lt;IF($B$3="Stage 1",MIN($B$6,MAX(1,INT($B$5/$B$11))),IF(AND($B$3="Stage 3",$B$5=20,$B$11&gt;11),1,IF(AND($B$3="Stage 3",OR($B$15="Year 10-11-12 Girls"),$B$5&gt;20),MAX(2,Setup!$B$14),Setup!$B$14))),IF(AND($B$3&lt;&gt;"Stage 2",$B$3&lt;&gt;"Stage 3"),TRUE,IF($U61,TRUE,COUNTIF($C$32:$C60,AK61)&lt;IF(AND($B$3="Stage 2",$B$5=20,AK61=$E$5,$A61&lt;=IF($B$8="One Keeper",$B$5,$B$8)),2,IF(AND(OR($B$3="Stage 2",AND($B$3="Stage 3",OR($B$15="Year 10-11-12 Girls"))),AK61=$E$5,$A61&lt;=IF($B$8="One Keeper",$B$5,$B$8)),3,$B$9)))))))</f>
        <v>0</v>
      </c>
      <c r="AY61" s="20" t="b">
        <f>IF(AL61="",FALSE,AND(AL61&lt;&gt;$B61,AL61&lt;&gt;$C60,IFERROR(INDEX($E$18:$E$30,MATCH(AL61,$B$18:$B$30,0)),"No")="Yes",IF(AND(OR($B$3="Stage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Girls"))),$B$5&gt;20),MIN(3,MAX(2,Setup!$B$14)),2))*2),AL61=$E$5,IF(AND(OR($B$3="Stage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Girls"))),$B$5&gt;20),MIN(3,MAX(2,Setup!$B$14)),2))*2-1))),AL61=$E$4,TRUE)),COUNTIF($C$32:$C60,AL61)&lt;$B$6,IF($BI61,COUNTIF($C$32:$C60,AL61)&lt;IF($B$3="Stage 1",MIN($B$6,MAX(1,INT($B$5/$B$11))),IF(AND($B$3="Stage 3",$B$5=20,$B$11&gt;11),1,IF(AND($B$3="Stage 3",OR($B$15="Year 10-11-12 Girls"),$B$5&gt;20),MAX(2,Setup!$B$14),Setup!$B$14))),IF(AND($B$3&lt;&gt;"Stage 2",$B$3&lt;&gt;"Stage 3"),TRUE,IF($U61,TRUE,COUNTIF($C$32:$C60,AL61)&lt;IF(AND($B$3="Stage 2",$B$5=20,AL61=$E$5,$A61&lt;=IF($B$8="One Keeper",$B$5,$B$8)),2,IF(AND(OR($B$3="Stage 2",AND($B$3="Stage 3",OR($B$15="Year 10-11-12 Girls"))),AL61=$E$5,$A61&lt;=IF($B$8="One Keeper",$B$5,$B$8)),3,$B$9)))))))</f>
        <v>0</v>
      </c>
      <c r="AZ61" s="20" t="b">
        <f>IF(AM61="",FALSE,AND(AM61&lt;&gt;$B61,AM61&lt;&gt;$C60,IFERROR(INDEX($E$18:$E$30,MATCH(AM61,$B$18:$B$30,0)),"No")="Yes",IF(AND(OR($B$3="Stage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Girls"))),$B$5&gt;20),MIN(3,MAX(2,Setup!$B$14)),2))*2),AM61=$E$5,IF(AND(OR($B$3="Stage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Girls"))),$B$5&gt;20),MIN(3,MAX(2,Setup!$B$14)),2))*2-1))),AM61=$E$4,TRUE)),COUNTIF($C$32:$C60,AM61)&lt;$B$6,IF($BI61,COUNTIF($C$32:$C60,AM61)&lt;IF($B$3="Stage 1",MIN($B$6,MAX(1,INT($B$5/$B$11))),IF(AND($B$3="Stage 3",$B$5=20,$B$11&gt;11),1,IF(AND($B$3="Stage 3",OR($B$15="Year 10-11-12 Girls"),$B$5&gt;20),MAX(2,Setup!$B$14),Setup!$B$14))),IF(AND($B$3&lt;&gt;"Stage 2",$B$3&lt;&gt;"Stage 3"),TRUE,IF($U61,TRUE,COUNTIF($C$32:$C60,AM61)&lt;IF(AND($B$3="Stage 2",$B$5=20,AM61=$E$5,$A61&lt;=IF($B$8="One Keeper",$B$5,$B$8)),2,IF(AND(OR($B$3="Stage 2",AND($B$3="Stage 3",OR($B$15="Year 10-11-12 Girls"))),AM61=$E$5,$A61&lt;=IF($B$8="One Keeper",$B$5,$B$8)),3,$B$9)))))))</f>
        <v>0</v>
      </c>
      <c r="BA61" s="20" t="b">
        <f>IF(AN61="",FALSE,AND(AN61&lt;&gt;$B61,AN61&lt;&gt;$C60,IFERROR(INDEX($E$18:$E$30,MATCH(AN61,$B$18:$B$30,0)),"No")="Yes",IF(AND(OR($B$3="Stage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Girls"))),$B$5&gt;20),MIN(3,MAX(2,Setup!$B$14)),2))*2),AN61=$E$5,IF(AND(OR($B$3="Stage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Girls"))),$B$5&gt;20),MIN(3,MAX(2,Setup!$B$14)),2))*2-1))),AN61=$E$4,TRUE)),COUNTIF($C$32:$C60,AN61)&lt;$B$6,IF($BI61,COUNTIF($C$32:$C60,AN61)&lt;IF($B$3="Stage 1",MIN($B$6,MAX(1,INT($B$5/$B$11))),IF(AND($B$3="Stage 3",$B$5=20,$B$11&gt;11),1,IF(AND($B$3="Stage 3",OR($B$15="Year 10-11-12 Girls"),$B$5&gt;20),MAX(2,Setup!$B$14),Setup!$B$14))),IF(AND($B$3&lt;&gt;"Stage 2",$B$3&lt;&gt;"Stage 3"),TRUE,IF($U61,TRUE,COUNTIF($C$32:$C60,AN61)&lt;IF(AND($B$3="Stage 2",$B$5=20,AN61=$E$5,$A61&lt;=IF($B$8="One Keeper",$B$5,$B$8)),2,IF(AND(OR($B$3="Stage 2",AND($B$3="Stage 3",OR($B$15="Year 10-11-12 Girls"))),AN61=$E$5,$A61&lt;=IF($B$8="One Keeper",$B$5,$B$8)),3,$B$9)))))))</f>
        <v>0</v>
      </c>
      <c r="BB61" s="20" t="b">
        <f>IF(AO61="",FALSE,AND(AO61&lt;&gt;$B61,AO61&lt;&gt;$C60,IFERROR(INDEX($E$18:$E$30,MATCH(AO61,$B$18:$B$30,0)),"No")="Yes",IF(AND(OR($B$3="Stage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Girls"))),$B$5&gt;20),MIN(3,MAX(2,Setup!$B$14)),2))*2),AO61=$E$5,IF(AND(OR($B$3="Stage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Girls"))),$B$5&gt;20),MIN(3,MAX(2,Setup!$B$14)),2))*2-1))),AO61=$E$4,TRUE)),COUNTIF($C$32:$C60,AO61)&lt;$B$6,IF($BI61,COUNTIF($C$32:$C60,AO61)&lt;IF($B$3="Stage 1",MIN($B$6,MAX(1,INT($B$5/$B$11))),IF(AND($B$3="Stage 3",$B$5=20,$B$11&gt;11),1,IF(AND($B$3="Stage 3",OR($B$15="Year 10-11-12 Girls"),$B$5&gt;20),MAX(2,Setup!$B$14),Setup!$B$14))),IF(AND($B$3&lt;&gt;"Stage 2",$B$3&lt;&gt;"Stage 3"),TRUE,IF($U61,TRUE,COUNTIF($C$32:$C60,AO61)&lt;IF(AND($B$3="Stage 2",$B$5=20,AO61=$E$5,$A61&lt;=IF($B$8="One Keeper",$B$5,$B$8)),2,IF(AND(OR($B$3="Stage 2",AND($B$3="Stage 3",OR($B$15="Year 10-11-12 Girls"))),AO61=$E$5,$A61&lt;=IF($B$8="One Keeper",$B$5,$B$8)),3,$B$9)))))))</f>
        <v>0</v>
      </c>
      <c r="BC61" s="20" t="b">
        <f>IF(AP61="",FALSE,AND(AP61&lt;&gt;$B61,AP61&lt;&gt;$C60,IFERROR(INDEX($E$18:$E$30,MATCH(AP61,$B$18:$B$30,0)),"No")="Yes",IF(AND(OR($B$3="Stage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Girls"))),$B$5&gt;20),MIN(3,MAX(2,Setup!$B$14)),2))*2),AP61=$E$5,IF(AND(OR($B$3="Stage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Girls"))),$B$5&gt;20),MIN(3,MAX(2,Setup!$B$14)),2))*2-1))),AP61=$E$4,TRUE)),COUNTIF($C$32:$C60,AP61)&lt;$B$6,IF($BI61,COUNTIF($C$32:$C60,AP61)&lt;IF($B$3="Stage 1",MIN($B$6,MAX(1,INT($B$5/$B$11))),IF(AND($B$3="Stage 3",$B$5=20,$B$11&gt;11),1,IF(AND($B$3="Stage 3",OR($B$15="Year 10-11-12 Girls"),$B$5&gt;20),MAX(2,Setup!$B$14),Setup!$B$14))),IF(AND($B$3&lt;&gt;"Stage 2",$B$3&lt;&gt;"Stage 3"),TRUE,IF($U61,TRUE,COUNTIF($C$32:$C60,AP61)&lt;IF(AND($B$3="Stage 2",$B$5=20,AP61=$E$5,$A61&lt;=IF($B$8="One Keeper",$B$5,$B$8)),2,IF(AND(OR($B$3="Stage 2",AND($B$3="Stage 3",OR($B$15="Year 10-11-12 Girls"))),AP61=$E$5,$A61&lt;=IF($B$8="One Keeper",$B$5,$B$8)),3,$B$9)))))))</f>
        <v>0</v>
      </c>
      <c r="BD61" s="20" t="b">
        <f>IF(AQ61="",FALSE,AND(AQ61&lt;&gt;$B61,AQ61&lt;&gt;$C60,IFERROR(INDEX($E$18:$E$30,MATCH(AQ61,$B$18:$B$30,0)),"No")="Yes",IF(AND(OR($B$3="Stage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Girls"))),$B$5&gt;20),MIN(3,MAX(2,Setup!$B$14)),2))*2),AQ61=$E$5,IF(AND(OR($B$3="Stage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Girls"))),$B$5&gt;20),MIN(3,MAX(2,Setup!$B$14)),2))*2-1))),AQ61=$E$4,TRUE)),COUNTIF($C$32:$C60,AQ61)&lt;$B$6,IF($BI61,COUNTIF($C$32:$C60,AQ61)&lt;IF($B$3="Stage 1",MIN($B$6,MAX(1,INT($B$5/$B$11))),IF(AND($B$3="Stage 3",$B$5=20,$B$11&gt;11),1,IF(AND($B$3="Stage 3",OR($B$15="Year 10-11-12 Girls"),$B$5&gt;20),MAX(2,Setup!$B$14),Setup!$B$14))),IF(AND($B$3&lt;&gt;"Stage 2",$B$3&lt;&gt;"Stage 3"),TRUE,IF($U61,TRUE,COUNTIF($C$32:$C60,AQ61)&lt;IF(AND($B$3="Stage 2",$B$5=20,AQ61=$E$5,$A61&lt;=IF($B$8="One Keeper",$B$5,$B$8)),2,IF(AND(OR($B$3="Stage 2",AND($B$3="Stage 3",OR($B$15="Year 10-11-12 Girls"))),AQ61=$E$5,$A61&lt;=IF($B$8="One Keeper",$B$5,$B$8)),3,$B$9)))))))</f>
        <v>0</v>
      </c>
      <c r="BE61" s="20" t="b">
        <f>IF(AR61="",FALSE,AND(AR61&lt;&gt;$B61,AR61&lt;&gt;$C60,IFERROR(INDEX($E$18:$E$30,MATCH(AR61,$B$18:$B$30,0)),"No")="Yes",IF(AND(OR($B$3="Stage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Girls"))),$B$5&gt;20),MIN(3,MAX(2,Setup!$B$14)),2))*2),AR61=$E$5,IF(AND(OR($B$3="Stage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Girls"))),$B$5&gt;20),MIN(3,MAX(2,Setup!$B$14)),2))*2-1))),AR61=$E$4,TRUE)),COUNTIF($C$32:$C60,AR61)&lt;$B$6,IF($BI61,COUNTIF($C$32:$C60,AR61)&lt;IF($B$3="Stage 1",MIN($B$6,MAX(1,INT($B$5/$B$11))),IF(AND($B$3="Stage 3",$B$5=20,$B$11&gt;11),1,IF(AND($B$3="Stage 3",OR($B$15="Year 10-11-12 Girls"),$B$5&gt;20),MAX(2,Setup!$B$14),Setup!$B$14))),IF(AND($B$3&lt;&gt;"Stage 2",$B$3&lt;&gt;"Stage 3"),TRUE,IF($U61,TRUE,COUNTIF($C$32:$C60,AR61)&lt;IF(AND($B$3="Stage 2",$B$5=20,AR61=$E$5,$A61&lt;=IF($B$8="One Keeper",$B$5,$B$8)),2,IF(AND(OR($B$3="Stage 2",AND($B$3="Stage 3",OR($B$15="Year 10-11-12 Girls"))),AR61=$E$5,$A61&lt;=IF($B$8="One Keeper",$B$5,$B$8)),3,$B$9)))))))</f>
        <v>0</v>
      </c>
      <c r="BF61" s="20" t="b">
        <f>IF(AS61="",FALSE,AND(AS61&lt;&gt;$B61,AS61&lt;&gt;$C60,IFERROR(INDEX($E$18:$E$30,MATCH(AS61,$B$18:$B$30,0)),"No")="Yes",IF(AND(OR($B$3="Stage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Girls"))),$B$5&gt;20),MIN(3,MAX(2,Setup!$B$14)),2))*2),AS61=$E$5,IF(AND(OR($B$3="Stage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Girls"))),$B$5&gt;20),MIN(3,MAX(2,Setup!$B$14)),2))*2-1))),AS61=$E$4,TRUE)),COUNTIF($C$32:$C60,AS61)&lt;$B$6,IF($BI61,COUNTIF($C$32:$C60,AS61)&lt;IF($B$3="Stage 1",MIN($B$6,MAX(1,INT($B$5/$B$11))),IF(AND($B$3="Stage 3",$B$5=20,$B$11&gt;11),1,IF(AND($B$3="Stage 3",OR($B$15="Year 10-11-12 Girls"),$B$5&gt;20),MAX(2,Setup!$B$14),Setup!$B$14))),IF(AND($B$3&lt;&gt;"Stage 2",$B$3&lt;&gt;"Stage 3"),TRUE,IF($U61,TRUE,COUNTIF($C$32:$C60,AS61)&lt;IF(AND($B$3="Stage 2",$B$5=20,AS61=$E$5,$A61&lt;=IF($B$8="One Keeper",$B$5,$B$8)),2,IF(AND(OR($B$3="Stage 2",AND($B$3="Stage 3",OR($B$15="Year 10-11-12 Girls"))),AS61=$E$5,$A61&lt;=IF($B$8="One Keeper",$B$5,$B$8)),3,$B$9)))))))</f>
        <v>0</v>
      </c>
      <c r="BG61" s="20" t="b">
        <f>IF(AT61="",FALSE,AND(AT61&lt;&gt;$B61,AT61&lt;&gt;$C60,IFERROR(INDEX($E$18:$E$30,MATCH(AT61,$B$18:$B$30,0)),"No")="Yes",IF(AND(OR($B$3="Stage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Girls"))),$B$5&gt;20),MIN(3,MAX(2,Setup!$B$14)),2))*2),AT61=$E$5,IF(AND(OR($B$3="Stage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Girls"))),$B$5&gt;20),MIN(3,MAX(2,Setup!$B$14)),2))*2-1))),AT61=$E$4,TRUE)),COUNTIF($C$32:$C60,AT61)&lt;$B$6,IF($BI61,COUNTIF($C$32:$C60,AT61)&lt;IF($B$3="Stage 1",MIN($B$6,MAX(1,INT($B$5/$B$11))),IF(AND($B$3="Stage 3",$B$5=20,$B$11&gt;11),1,IF(AND($B$3="Stage 3",OR($B$15="Year 10-11-12 Girls"),$B$5&gt;20),MAX(2,Setup!$B$14),Setup!$B$14))),IF(AND($B$3&lt;&gt;"Stage 2",$B$3&lt;&gt;"Stage 3"),TRUE,IF($U61,TRUE,COUNTIF($C$32:$C60,AT61)&lt;IF(AND($B$3="Stage 2",$B$5=20,AT61=$E$5,$A61&lt;=IF($B$8="One Keeper",$B$5,$B$8)),2,IF(AND(OR($B$3="Stage 2",AND($B$3="Stage 3",OR($B$15="Year 10-11-12 Girls"))),AT61=$E$5,$A61&lt;=IF($B$8="One Keeper",$B$5,$B$8)),3,$B$9)))))))</f>
        <v>0</v>
      </c>
      <c r="BH61" s="20" t="b">
        <f>IF(AU61="",FALSE,AND(AU61&lt;&gt;$B61,AU61&lt;&gt;$C60,IFERROR(INDEX($E$18:$E$30,MATCH(AU61,$B$18:$B$30,0)),"No")="Yes",IF(AND(OR($B$3="Stage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Girls"))),$B$5&gt;20),MIN(3,MAX(2,Setup!$B$14)),2))*2),AU61=$E$5,IF(AND(OR($B$3="Stage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Girls"))),$B$5&gt;20),MIN(3,MAX(2,Setup!$B$14)),2))*2-1))),AU61=$E$4,TRUE)),COUNTIF($C$32:$C60,AU61)&lt;$B$6,IF($BI61,COUNTIF($C$32:$C60,AU61)&lt;IF($B$3="Stage 1",MIN($B$6,MAX(1,INT($B$5/$B$11))),IF(AND($B$3="Stage 3",$B$5=20,$B$11&gt;11),1,IF(AND($B$3="Stage 3",OR($B$15="Year 10-11-12 Girls"),$B$5&gt;20),MAX(2,Setup!$B$14),Setup!$B$14))),IF(AND($B$3&lt;&gt;"Stage 2",$B$3&lt;&gt;"Stage 3"),TRUE,IF($U61,TRUE,COUNTIF($C$32:$C60,AU61)&lt;IF(AND($B$3="Stage 2",$B$5=20,AU61=$E$5,$A61&lt;=IF($B$8="One Keeper",$B$5,$B$8)),2,IF(AND(OR($B$3="Stage 2",AND($B$3="Stage 3",OR($B$15="Year 10-11-12 Girls"))),AU61=$E$5,$A61&lt;=IF($B$8="One Keeper",$B$5,$B$8)),3,$B$9)))))))</f>
        <v>0</v>
      </c>
      <c r="BI61"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Keeper",$E$4&lt;&gt;$E$5,$A61&lt;=IF($B$8="One Keeper",$B$5,$B$8),COUNTIF($C$32:$C60,$E$5)&lt;IF(AND($B$3="Stage 3",$B$5=20,$B$11&gt;11),1,IF(AND(OR($B$3="Stage 2",AND($B$3="Stage 3",OR($B$15="Year 10-11-12 Girls"))),$B$5&gt;20),MIN(3,MAX(2,Setup!$B$14)),2)),IFERROR(INDEX($E$18:$E$30,MATCH($E$5,$B$18:$B$30,0)),"No")="Yes",$C60&lt;&gt;$E$5,MOD($A61,2)=0,$A61&lt;=IF(AND($B$3="Stage 3",$B$5=20,$B$11&gt;11),1,IF(AND(OR($B$3="Stage 2",AND($B$3="Stage 3",OR($B$15="Year 10-11-12 Girls"))),$B$5&gt;20),MIN(3,MAX(2,Setup!$B$14)),2))*2),AND(OR($B$3="Stage 1",$B$3="Stage 2",AND($B$3="Stage 3",OR(OR($B$15="Year 10-11-12 Girls"),OR($B$15="Year 8 Boys",$B$15="Year 9 Boys",$B$15="Year 10-11 Boys")))),$B$8&lt;&gt;"One Keeper",$E$4&lt;&gt;$E$5,$A61&gt;IF($B$8="One Keeper",$B$5,$B$8),COUNTIF($C$32:$C60,$E$4)&lt;IF(AND($B$3="Stage 3",$B$5=20,$B$11&gt;11),1,IF(AND(OR($B$3="Stage 2",AND($B$3="Stage 3",OR($B$15="Year 10-11-12 Girls"))),$B$5&gt;20),MIN(3,MAX(2,Setup!$B$14)),2)),IFERROR(INDEX($E$18:$E$30,MATCH($E$4,$B$18:$B$30,0)),"No")="Yes",$C60&lt;&gt;$E$4,IF($B$7="Three-over spell",AND(MOD($A61-IF($B$8="One Keeper",$B$5,$B$8)-1,3)=0,($A61-IF($B$8="One Keeper",$B$5,$B$8))&lt;=1+(IF(AND($B$3="Stage 3",$B$5=20,$B$11&gt;11),1,IF(AND(OR($B$3="Stage 2",AND($B$3="Stage 3",OR($B$15="Year 10-11-12 Girls"))),$B$5&gt;20),MIN(3,MAX(2,Setup!$B$14)),2))-1)*3),AND(MOD($A61-IF($B$8="One Keeper",$B$5,$B$8),2)=1,($A61-IF($B$8="One Keeper",$B$5,$B$8))&lt;=IF(AND($B$3="Stage 3",$B$5=20,$B$11&gt;11),1,IF(AND(OR($B$3="Stage 2",AND($B$3="Stage 3",OR($B$15="Year 10-11-12 Girls"))),$B$5&gt;20),MIN(3,MAX(2,Setup!$B$14)),2))*2-1))))),OR($U61,AND($B$3="Stage 3",$B$5=20,$B$11&gt;11)),OR($BJ61,$BK61,$BL61,$BM61,$BN61,$BO61,$BP61,$BQ61,$BR61,$BS61,$BT61,$BU61,$BV61))</f>
        <v>0</v>
      </c>
      <c r="BJ61" s="20" t="b">
        <f>IF(AI61="",FALSE,AND(AI61&lt;&gt;IF(AND($B$3="Stage 3",OR($B$15="Year 8 Boys",$B$15="Year 9 Boys",$B$15="Year 10-11 Boys"),$B$8="One Keeper"),$E$4,""),AI61&lt;&gt;$B61,AI61&lt;&gt;$C60,IFERROR(INDEX($E$18:$E$30,MATCH(AI61,$B$18:$B$30,0)),"No")="Yes",COUNTIF($C$32:$C60,AI61)&lt;$B$6,COUNTIF($C$32:$C60,AI61)&lt;IF($B$3="Stage 1",MIN($B$6,MAX(1,INT($B$5/$B$11))),IF(AND($B$3="Stage 3",$B$5=20,$B$11&gt;11),1,IF(AND($B$3="Stage 3",OR($B$15="Year 10-11-12 Girls"),$B$5&gt;20),MAX(2,Setup!$B$14),Setup!$B$14)))))</f>
        <v>0</v>
      </c>
      <c r="BK61" s="20" t="b">
        <f>IF(AJ61="",FALSE,AND(AJ61&lt;&gt;IF(AND($B$3="Stage 3",OR($B$15="Year 8 Boys",$B$15="Year 9 Boys",$B$15="Year 10-11 Boys"),$B$8="One Keeper"),$E$4,""),AJ61&lt;&gt;$B61,AJ61&lt;&gt;$C60,IFERROR(INDEX($E$18:$E$30,MATCH(AJ61,$B$18:$B$30,0)),"No")="Yes",COUNTIF($C$32:$C60,AJ61)&lt;$B$6,COUNTIF($C$32:$C60,AJ61)&lt;IF($B$3="Stage 1",MIN($B$6,MAX(1,INT($B$5/$B$11))),IF(AND($B$3="Stage 3",$B$5=20,$B$11&gt;11),1,IF(AND($B$3="Stage 3",OR($B$15="Year 10-11-12 Girls"),$B$5&gt;20),MAX(2,Setup!$B$14),Setup!$B$14)))))</f>
        <v>0</v>
      </c>
      <c r="BL61" s="20" t="b">
        <f>IF(AK61="",FALSE,AND(AK61&lt;&gt;IF(AND($B$3="Stage 3",OR($B$15="Year 8 Boys",$B$15="Year 9 Boys",$B$15="Year 10-11 Boys"),$B$8="One Keeper"),$E$4,""),AK61&lt;&gt;$B61,AK61&lt;&gt;$C60,IFERROR(INDEX($E$18:$E$30,MATCH(AK61,$B$18:$B$30,0)),"No")="Yes",COUNTIF($C$32:$C60,AK61)&lt;$B$6,COUNTIF($C$32:$C60,AK61)&lt;IF($B$3="Stage 1",MIN($B$6,MAX(1,INT($B$5/$B$11))),IF(AND($B$3="Stage 3",$B$5=20,$B$11&gt;11),1,IF(AND($B$3="Stage 3",OR($B$15="Year 10-11-12 Girls"),$B$5&gt;20),MAX(2,Setup!$B$14),Setup!$B$14)))))</f>
        <v>0</v>
      </c>
      <c r="BM61" s="20" t="b">
        <f>IF(AL61="",FALSE,AND(AL61&lt;&gt;IF(AND($B$3="Stage 3",OR($B$15="Year 8 Boys",$B$15="Year 9 Boys",$B$15="Year 10-11 Boys"),$B$8="One Keeper"),$E$4,""),AL61&lt;&gt;$B61,AL61&lt;&gt;$C60,IFERROR(INDEX($E$18:$E$30,MATCH(AL61,$B$18:$B$30,0)),"No")="Yes",COUNTIF($C$32:$C60,AL61)&lt;$B$6,COUNTIF($C$32:$C60,AL61)&lt;IF($B$3="Stage 1",MIN($B$6,MAX(1,INT($B$5/$B$11))),IF(AND($B$3="Stage 3",$B$5=20,$B$11&gt;11),1,IF(AND($B$3="Stage 3",OR($B$15="Year 10-11-12 Girls"),$B$5&gt;20),MAX(2,Setup!$B$14),Setup!$B$14)))))</f>
        <v>0</v>
      </c>
      <c r="BN61" s="20" t="b">
        <f>IF(AM61="",FALSE,AND(AM61&lt;&gt;IF(AND($B$3="Stage 3",OR($B$15="Year 8 Boys",$B$15="Year 9 Boys",$B$15="Year 10-11 Boys"),$B$8="One Keeper"),$E$4,""),AM61&lt;&gt;$B61,AM61&lt;&gt;$C60,IFERROR(INDEX($E$18:$E$30,MATCH(AM61,$B$18:$B$30,0)),"No")="Yes",COUNTIF($C$32:$C60,AM61)&lt;$B$6,COUNTIF($C$32:$C60,AM61)&lt;IF($B$3="Stage 1",MIN($B$6,MAX(1,INT($B$5/$B$11))),IF(AND($B$3="Stage 3",$B$5=20,$B$11&gt;11),1,IF(AND($B$3="Stage 3",OR($B$15="Year 10-11-12 Girls"),$B$5&gt;20),MAX(2,Setup!$B$14),Setup!$B$14)))))</f>
        <v>0</v>
      </c>
      <c r="BO61" s="20" t="b">
        <f>IF(AN61="",FALSE,AND(AN61&lt;&gt;IF(AND($B$3="Stage 3",OR($B$15="Year 8 Boys",$B$15="Year 9 Boys",$B$15="Year 10-11 Boys"),$B$8="One Keeper"),$E$4,""),AN61&lt;&gt;$B61,AN61&lt;&gt;$C60,IFERROR(INDEX($E$18:$E$30,MATCH(AN61,$B$18:$B$30,0)),"No")="Yes",COUNTIF($C$32:$C60,AN61)&lt;$B$6,COUNTIF($C$32:$C60,AN61)&lt;IF($B$3="Stage 1",MIN($B$6,MAX(1,INT($B$5/$B$11))),IF(AND($B$3="Stage 3",$B$5=20,$B$11&gt;11),1,IF(AND($B$3="Stage 3",OR($B$15="Year 10-11-12 Girls"),$B$5&gt;20),MAX(2,Setup!$B$14),Setup!$B$14)))))</f>
        <v>0</v>
      </c>
      <c r="BP61" s="20" t="b">
        <f>IF(AO61="",FALSE,AND(AO61&lt;&gt;IF(AND($B$3="Stage 3",OR($B$15="Year 8 Boys",$B$15="Year 9 Boys",$B$15="Year 10-11 Boys"),$B$8="One Keeper"),$E$4,""),AO61&lt;&gt;$B61,AO61&lt;&gt;$C60,IFERROR(INDEX($E$18:$E$30,MATCH(AO61,$B$18:$B$30,0)),"No")="Yes",COUNTIF($C$32:$C60,AO61)&lt;$B$6,COUNTIF($C$32:$C60,AO61)&lt;IF($B$3="Stage 1",MIN($B$6,MAX(1,INT($B$5/$B$11))),IF(AND($B$3="Stage 3",$B$5=20,$B$11&gt;11),1,IF(AND($B$3="Stage 3",OR($B$15="Year 10-11-12 Girls"),$B$5&gt;20),MAX(2,Setup!$B$14),Setup!$B$14)))))</f>
        <v>0</v>
      </c>
      <c r="BQ61" s="20" t="b">
        <f>IF(AP61="",FALSE,AND(AP61&lt;&gt;IF(AND($B$3="Stage 3",OR($B$15="Year 8 Boys",$B$15="Year 9 Boys",$B$15="Year 10-11 Boys"),$B$8="One Keeper"),$E$4,""),AP61&lt;&gt;$B61,AP61&lt;&gt;$C60,IFERROR(INDEX($E$18:$E$30,MATCH(AP61,$B$18:$B$30,0)),"No")="Yes",COUNTIF($C$32:$C60,AP61)&lt;$B$6,COUNTIF($C$32:$C60,AP61)&lt;IF($B$3="Stage 1",MIN($B$6,MAX(1,INT($B$5/$B$11))),IF(AND($B$3="Stage 3",$B$5=20,$B$11&gt;11),1,IF(AND($B$3="Stage 3",OR($B$15="Year 10-11-12 Girls"),$B$5&gt;20),MAX(2,Setup!$B$14),Setup!$B$14)))))</f>
        <v>0</v>
      </c>
      <c r="BR61" s="20" t="b">
        <f>IF(AQ61="",FALSE,AND(AQ61&lt;&gt;IF(AND($B$3="Stage 3",OR($B$15="Year 8 Boys",$B$15="Year 9 Boys",$B$15="Year 10-11 Boys"),$B$8="One Keeper"),$E$4,""),AQ61&lt;&gt;$B61,AQ61&lt;&gt;$C60,IFERROR(INDEX($E$18:$E$30,MATCH(AQ61,$B$18:$B$30,0)),"No")="Yes",COUNTIF($C$32:$C60,AQ61)&lt;$B$6,COUNTIF($C$32:$C60,AQ61)&lt;IF($B$3="Stage 1",MIN($B$6,MAX(1,INT($B$5/$B$11))),IF(AND($B$3="Stage 3",$B$5=20,$B$11&gt;11),1,IF(AND($B$3="Stage 3",OR($B$15="Year 10-11-12 Girls"),$B$5&gt;20),MAX(2,Setup!$B$14),Setup!$B$14)))))</f>
        <v>0</v>
      </c>
      <c r="BS61" s="20" t="b">
        <f>IF(AR61="",FALSE,AND(AR61&lt;&gt;IF(AND($B$3="Stage 3",OR($B$15="Year 8 Boys",$B$15="Year 9 Boys",$B$15="Year 10-11 Boys"),$B$8="One Keeper"),$E$4,""),AR61&lt;&gt;$B61,AR61&lt;&gt;$C60,IFERROR(INDEX($E$18:$E$30,MATCH(AR61,$B$18:$B$30,0)),"No")="Yes",COUNTIF($C$32:$C60,AR61)&lt;$B$6,COUNTIF($C$32:$C60,AR61)&lt;IF($B$3="Stage 1",MIN($B$6,MAX(1,INT($B$5/$B$11))),IF(AND($B$3="Stage 3",$B$5=20,$B$11&gt;11),1,IF(AND($B$3="Stage 3",OR($B$15="Year 10-11-12 Girls"),$B$5&gt;20),MAX(2,Setup!$B$14),Setup!$B$14)))))</f>
        <v>0</v>
      </c>
      <c r="BT61" s="20" t="b">
        <f>IF(AS61="",FALSE,AND(AS61&lt;&gt;IF(AND($B$3="Stage 3",OR($B$15="Year 8 Boys",$B$15="Year 9 Boys",$B$15="Year 10-11 Boys"),$B$8="One Keeper"),$E$4,""),AS61&lt;&gt;$B61,AS61&lt;&gt;$C60,IFERROR(INDEX($E$18:$E$30,MATCH(AS61,$B$18:$B$30,0)),"No")="Yes",COUNTIF($C$32:$C60,AS61)&lt;$B$6,COUNTIF($C$32:$C60,AS61)&lt;IF($B$3="Stage 1",MIN($B$6,MAX(1,INT($B$5/$B$11))),IF(AND($B$3="Stage 3",$B$5=20,$B$11&gt;11),1,IF(AND($B$3="Stage 3",OR($B$15="Year 10-11-12 Girls"),$B$5&gt;20),MAX(2,Setup!$B$14),Setup!$B$14)))))</f>
        <v>0</v>
      </c>
      <c r="BU61" s="20" t="b">
        <f>IF(AT61="",FALSE,AND(AT61&lt;&gt;IF(AND($B$3="Stage 3",OR($B$15="Year 8 Boys",$B$15="Year 9 Boys",$B$15="Year 10-11 Boys"),$B$8="One Keeper"),$E$4,""),AT61&lt;&gt;$B61,AT61&lt;&gt;$C60,IFERROR(INDEX($E$18:$E$30,MATCH(AT61,$B$18:$B$30,0)),"No")="Yes",COUNTIF($C$32:$C60,AT61)&lt;$B$6,COUNTIF($C$32:$C60,AT61)&lt;IF($B$3="Stage 1",MIN($B$6,MAX(1,INT($B$5/$B$11))),IF(AND($B$3="Stage 3",$B$5=20,$B$11&gt;11),1,IF(AND($B$3="Stage 3",OR($B$15="Year 10-11-12 Girls"),$B$5&gt;20),MAX(2,Setup!$B$14),Setup!$B$14)))))</f>
        <v>0</v>
      </c>
      <c r="BV61" s="20" t="b">
        <f>IF(AU61="",FALSE,AND(AU61&lt;&gt;IF(AND($B$3="Stage 3",OR($B$15="Year 8 Boys",$B$15="Year 9 Boys",$B$15="Year 10-11 Boys"),$B$8="One Keeper"),$E$4,""),AU61&lt;&gt;$B61,AU61&lt;&gt;$C60,IFERROR(INDEX($E$18:$E$30,MATCH(AU61,$B$18:$B$30,0)),"No")="Yes",COUNTIF($C$32:$C60,AU61)&lt;$B$6,COUNTIF($C$32:$C60,AU61)&lt;IF($B$3="Stage 1",MIN($B$6,MAX(1,INT($B$5/$B$11))),IF(AND($B$3="Stage 3",$B$5=20,$B$11&gt;11),1,IF(AND($B$3="Stage 3",OR($B$15="Year 10-11-12 Girls"),$B$5&gt;20),MAX(2,Setup!$B$14),Setup!$B$14)))))</f>
        <v>0</v>
      </c>
      <c r="BW61" s="20"/>
      <c r="BX61" s="20"/>
      <c r="BY61" s="20"/>
      <c r="BZ61" s="20"/>
      <c r="CA61" s="20"/>
      <c r="CB61" s="20"/>
      <c r="CC61" s="20"/>
      <c r="CD61" s="20"/>
      <c r="CE61" s="20"/>
      <c r="CF61" s="20"/>
      <c r="CG61" s="20"/>
      <c r="CH61" s="20"/>
      <c r="CI61" s="20"/>
      <c r="CJ61" s="20"/>
      <c r="CK61" s="20"/>
    </row>
    <row r="62" spans="1:89" ht="15" customHeight="1">
      <c r="A62" s="18">
        <v>31</v>
      </c>
      <c r="B62" s="18" t="str">
        <f t="shared" si="5"/>
        <v/>
      </c>
      <c r="C62" s="18" t="str">
        <f t="shared" si="6"/>
        <v/>
      </c>
      <c r="D62" s="18">
        <f t="shared" si="7"/>
        <v>8</v>
      </c>
      <c r="E62" s="18" t="str">
        <f>IF($C62="","",COUNTIF($C$32:C62,$C62))</f>
        <v/>
      </c>
      <c r="F62" s="18" t="str">
        <f t="shared" si="8"/>
        <v/>
      </c>
      <c r="T62" s="20" t="str">
        <f t="shared" si="15"/>
        <v/>
      </c>
      <c r="U62" s="20" t="b">
        <f>IF(OR($B$3="Stage 2",AND($B$3="Stage 3",OR($B$15="Year 10-11-12 Girls"))),(IF(AND($P$18&lt;&gt;"",$P$18&lt;&gt;$E$4,COUNTIF($C$32:$C61,$P$18)&gt;=2),1,0)+IF(AND($P$19&lt;&gt;"",$P$19&lt;&gt;$E$4,COUNTIF($C$32:$C61,$P$19)&gt;=2),1,0)+IF(AND($P$20&lt;&gt;"",$P$20&lt;&gt;$E$4,COUNTIF($C$32:$C61,$P$20)&gt;=2),1,0)+IF(AND($P$21&lt;&gt;"",$P$21&lt;&gt;$E$4,COUNTIF($C$32:$C61,$P$21)&gt;=2),1,0)+IF(AND($P$22&lt;&gt;"",$P$22&lt;&gt;$E$4,COUNTIF($C$32:$C61,$P$22)&gt;=2),1,0)+IF(AND($P$23&lt;&gt;"",$P$23&lt;&gt;$E$4,COUNTIF($C$32:$C61,$P$23)&gt;=2),1,0)+IF(AND($P$24&lt;&gt;"",$P$24&lt;&gt;$E$4,COUNTIF($C$32:$C61,$P$24)&gt;=2),1,0)+IF(AND($P$25&lt;&gt;"",$P$25&lt;&gt;$E$4,COUNTIF($C$32:$C61,$P$25)&gt;=2),1,0)+IF(AND($P$26&lt;&gt;"",$P$26&lt;&gt;$E$4,COUNTIF($C$32:$C61,$P$26)&gt;=2),1,0)+IF(AND($P$27&lt;&gt;"",$P$27&lt;&gt;$E$4,COUNTIF($C$32:$C61,$P$27)&gt;=2),1,0)+IF(AND($P$28&lt;&gt;"",$P$28&lt;&gt;$E$4,COUNTIF($C$32:$C61,$P$28)&gt;=2),1,0)+IF(AND($P$29&lt;&gt;"",$P$29&lt;&gt;$E$4,COUNTIF($C$32:$C61,$P$29)&gt;=2),1,0)+IF(AND($P$30&lt;&gt;"",$P$30&lt;&gt;$E$4,COUNTIF($C$32:$C61,$P$30)&gt;=2),1,0))&gt;=MAX(0,$B$11-1),IF(AND($B$3="Stage 3",OR($B$15="Year 8 Boys",$B$15="Year 9 Boys",$B$15="Year 10-11 Boys")),(IF(AND($P$18&lt;&gt;"",COUNTIF($C$32:$C61,$P$18)&gt;=2),1,0)+IF(AND($P$19&lt;&gt;"",COUNTIF($C$32:$C61,$P$19)&gt;=2),1,0)+IF(AND($P$20&lt;&gt;"",COUNTIF($C$32:$C61,$P$20)&gt;=2),1,0)+IF(AND($P$21&lt;&gt;"",COUNTIF($C$32:$C61,$P$21)&gt;=2),1,0)+IF(AND($P$22&lt;&gt;"",COUNTIF($C$32:$C61,$P$22)&gt;=2),1,0)+IF(AND($P$23&lt;&gt;"",COUNTIF($C$32:$C61,$P$23)&gt;=2),1,0)+IF(AND($P$24&lt;&gt;"",COUNTIF($C$32:$C61,$P$24)&gt;=2),1,0)+IF(AND($P$25&lt;&gt;"",COUNTIF($C$32:$C61,$P$25)&gt;=2),1,0)+IF(AND($P$26&lt;&gt;"",COUNTIF($C$32:$C61,$P$26)&gt;=2),1,0)+IF(AND($P$27&lt;&gt;"",COUNTIF($C$32:$C61,$P$27)&gt;=2),1,0)+IF(AND($P$28&lt;&gt;"",COUNTIF($C$32:$C61,$P$28)&gt;=2),1,0)+IF(AND($P$29&lt;&gt;"",COUNTIF($C$32:$C61,$P$29)&gt;=2),1,0)+IF(AND($P$30&lt;&gt;"",COUNTIF($C$32:$C61,$P$30)&gt;=2),1,0))&gt;=7,TRUE))</f>
        <v>1</v>
      </c>
      <c r="V62" s="20" t="str">
        <f t="shared" ref="V62:AH71" si="32">IF($A62&gt;$B$5,"",MOD($T62+V$30-2,$B$11)+1)</f>
        <v/>
      </c>
      <c r="W62" s="20" t="str">
        <f t="shared" si="32"/>
        <v/>
      </c>
      <c r="X62" s="20" t="str">
        <f t="shared" si="32"/>
        <v/>
      </c>
      <c r="Y62" s="20" t="str">
        <f t="shared" si="32"/>
        <v/>
      </c>
      <c r="Z62" s="20" t="str">
        <f t="shared" si="32"/>
        <v/>
      </c>
      <c r="AA62" s="20" t="str">
        <f t="shared" si="32"/>
        <v/>
      </c>
      <c r="AB62" s="20" t="str">
        <f t="shared" si="32"/>
        <v/>
      </c>
      <c r="AC62" s="20" t="str">
        <f t="shared" si="32"/>
        <v/>
      </c>
      <c r="AD62" s="20" t="str">
        <f t="shared" si="32"/>
        <v/>
      </c>
      <c r="AE62" s="20" t="str">
        <f t="shared" si="32"/>
        <v/>
      </c>
      <c r="AF62" s="20" t="str">
        <f t="shared" si="32"/>
        <v/>
      </c>
      <c r="AG62" s="20" t="str">
        <f t="shared" si="32"/>
        <v/>
      </c>
      <c r="AH62" s="20" t="str">
        <f t="shared" si="32"/>
        <v/>
      </c>
      <c r="AI62" s="20" t="str">
        <f t="shared" si="17"/>
        <v/>
      </c>
      <c r="AJ62" s="20" t="str">
        <f t="shared" si="18"/>
        <v/>
      </c>
      <c r="AK62" s="20" t="str">
        <f t="shared" si="19"/>
        <v/>
      </c>
      <c r="AL62" s="20" t="str">
        <f t="shared" si="20"/>
        <v/>
      </c>
      <c r="AM62" s="20" t="str">
        <f t="shared" si="21"/>
        <v/>
      </c>
      <c r="AN62" s="20" t="str">
        <f t="shared" si="22"/>
        <v/>
      </c>
      <c r="AO62" s="20" t="str">
        <f t="shared" si="23"/>
        <v/>
      </c>
      <c r="AP62" s="20" t="str">
        <f t="shared" si="24"/>
        <v/>
      </c>
      <c r="AQ62" s="20" t="str">
        <f t="shared" si="25"/>
        <v/>
      </c>
      <c r="AR62" s="20" t="str">
        <f t="shared" si="26"/>
        <v/>
      </c>
      <c r="AS62" s="20" t="str">
        <f t="shared" si="27"/>
        <v/>
      </c>
      <c r="AT62" s="20" t="str">
        <f t="shared" si="28"/>
        <v/>
      </c>
      <c r="AU62" s="20" t="str">
        <f t="shared" si="29"/>
        <v/>
      </c>
      <c r="AV62" s="20" t="b">
        <f>IF(AI62="",FALSE,AND(AI62&lt;&gt;$B62,AI62&lt;&gt;$C61,IFERROR(INDEX($E$18:$E$30,MATCH(AI62,$B$18:$B$30,0)),"No")="Yes",IF(AND(OR($B$3="Stage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Girls"))),$B$5&gt;20),MIN(3,MAX(2,Setup!$B$14)),2))*2),AI62=$E$5,IF(AND(OR($B$3="Stage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Girls"))),$B$5&gt;20),MIN(3,MAX(2,Setup!$B$14)),2))*2-1))),AI62=$E$4,TRUE)),COUNTIF($C$32:$C61,AI62)&lt;$B$6,IF($BI62,COUNTIF($C$32:$C61,AI62)&lt;IF($B$3="Stage 1",MIN($B$6,MAX(1,INT($B$5/$B$11))),IF(AND($B$3="Stage 3",$B$5=20,$B$11&gt;11),1,IF(AND($B$3="Stage 3",OR($B$15="Year 10-11-12 Girls"),$B$5&gt;20),MAX(2,Setup!$B$14),Setup!$B$14))),IF(AND($B$3&lt;&gt;"Stage 2",$B$3&lt;&gt;"Stage 3"),TRUE,IF($U62,TRUE,COUNTIF($C$32:$C61,AI62)&lt;IF(AND($B$3="Stage 2",$B$5=20,AI62=$E$5,$A62&lt;=IF($B$8="One Keeper",$B$5,$B$8)),2,IF(AND(OR($B$3="Stage 2",AND($B$3="Stage 3",OR($B$15="Year 10-11-12 Girls"))),AI62=$E$5,$A62&lt;=IF($B$8="One Keeper",$B$5,$B$8)),3,$B$9)))))))</f>
        <v>0</v>
      </c>
      <c r="AW62" s="20" t="b">
        <f>IF(AJ62="",FALSE,AND(AJ62&lt;&gt;$B62,AJ62&lt;&gt;$C61,IFERROR(INDEX($E$18:$E$30,MATCH(AJ62,$B$18:$B$30,0)),"No")="Yes",IF(AND(OR($B$3="Stage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Girls"))),$B$5&gt;20),MIN(3,MAX(2,Setup!$B$14)),2))*2),AJ62=$E$5,IF(AND(OR($B$3="Stage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Girls"))),$B$5&gt;20),MIN(3,MAX(2,Setup!$B$14)),2))*2-1))),AJ62=$E$4,TRUE)),COUNTIF($C$32:$C61,AJ62)&lt;$B$6,IF($BI62,COUNTIF($C$32:$C61,AJ62)&lt;IF($B$3="Stage 1",MIN($B$6,MAX(1,INT($B$5/$B$11))),IF(AND($B$3="Stage 3",$B$5=20,$B$11&gt;11),1,IF(AND($B$3="Stage 3",OR($B$15="Year 10-11-12 Girls"),$B$5&gt;20),MAX(2,Setup!$B$14),Setup!$B$14))),IF(AND($B$3&lt;&gt;"Stage 2",$B$3&lt;&gt;"Stage 3"),TRUE,IF($U62,TRUE,COUNTIF($C$32:$C61,AJ62)&lt;IF(AND($B$3="Stage 2",$B$5=20,AJ62=$E$5,$A62&lt;=IF($B$8="One Keeper",$B$5,$B$8)),2,IF(AND(OR($B$3="Stage 2",AND($B$3="Stage 3",OR($B$15="Year 10-11-12 Girls"))),AJ62=$E$5,$A62&lt;=IF($B$8="One Keeper",$B$5,$B$8)),3,$B$9)))))))</f>
        <v>0</v>
      </c>
      <c r="AX62" s="20" t="b">
        <f>IF(AK62="",FALSE,AND(AK62&lt;&gt;$B62,AK62&lt;&gt;$C61,IFERROR(INDEX($E$18:$E$30,MATCH(AK62,$B$18:$B$30,0)),"No")="Yes",IF(AND(OR($B$3="Stage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Girls"))),$B$5&gt;20),MIN(3,MAX(2,Setup!$B$14)),2))*2),AK62=$E$5,IF(AND(OR($B$3="Stage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Girls"))),$B$5&gt;20),MIN(3,MAX(2,Setup!$B$14)),2))*2-1))),AK62=$E$4,TRUE)),COUNTIF($C$32:$C61,AK62)&lt;$B$6,IF($BI62,COUNTIF($C$32:$C61,AK62)&lt;IF($B$3="Stage 1",MIN($B$6,MAX(1,INT($B$5/$B$11))),IF(AND($B$3="Stage 3",$B$5=20,$B$11&gt;11),1,IF(AND($B$3="Stage 3",OR($B$15="Year 10-11-12 Girls"),$B$5&gt;20),MAX(2,Setup!$B$14),Setup!$B$14))),IF(AND($B$3&lt;&gt;"Stage 2",$B$3&lt;&gt;"Stage 3"),TRUE,IF($U62,TRUE,COUNTIF($C$32:$C61,AK62)&lt;IF(AND($B$3="Stage 2",$B$5=20,AK62=$E$5,$A62&lt;=IF($B$8="One Keeper",$B$5,$B$8)),2,IF(AND(OR($B$3="Stage 2",AND($B$3="Stage 3",OR($B$15="Year 10-11-12 Girls"))),AK62=$E$5,$A62&lt;=IF($B$8="One Keeper",$B$5,$B$8)),3,$B$9)))))))</f>
        <v>0</v>
      </c>
      <c r="AY62" s="20" t="b">
        <f>IF(AL62="",FALSE,AND(AL62&lt;&gt;$B62,AL62&lt;&gt;$C61,IFERROR(INDEX($E$18:$E$30,MATCH(AL62,$B$18:$B$30,0)),"No")="Yes",IF(AND(OR($B$3="Stage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Girls"))),$B$5&gt;20),MIN(3,MAX(2,Setup!$B$14)),2))*2),AL62=$E$5,IF(AND(OR($B$3="Stage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Girls"))),$B$5&gt;20),MIN(3,MAX(2,Setup!$B$14)),2))*2-1))),AL62=$E$4,TRUE)),COUNTIF($C$32:$C61,AL62)&lt;$B$6,IF($BI62,COUNTIF($C$32:$C61,AL62)&lt;IF($B$3="Stage 1",MIN($B$6,MAX(1,INT($B$5/$B$11))),IF(AND($B$3="Stage 3",$B$5=20,$B$11&gt;11),1,IF(AND($B$3="Stage 3",OR($B$15="Year 10-11-12 Girls"),$B$5&gt;20),MAX(2,Setup!$B$14),Setup!$B$14))),IF(AND($B$3&lt;&gt;"Stage 2",$B$3&lt;&gt;"Stage 3"),TRUE,IF($U62,TRUE,COUNTIF($C$32:$C61,AL62)&lt;IF(AND($B$3="Stage 2",$B$5=20,AL62=$E$5,$A62&lt;=IF($B$8="One Keeper",$B$5,$B$8)),2,IF(AND(OR($B$3="Stage 2",AND($B$3="Stage 3",OR($B$15="Year 10-11-12 Girls"))),AL62=$E$5,$A62&lt;=IF($B$8="One Keeper",$B$5,$B$8)),3,$B$9)))))))</f>
        <v>0</v>
      </c>
      <c r="AZ62" s="20" t="b">
        <f>IF(AM62="",FALSE,AND(AM62&lt;&gt;$B62,AM62&lt;&gt;$C61,IFERROR(INDEX($E$18:$E$30,MATCH(AM62,$B$18:$B$30,0)),"No")="Yes",IF(AND(OR($B$3="Stage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Girls"))),$B$5&gt;20),MIN(3,MAX(2,Setup!$B$14)),2))*2),AM62=$E$5,IF(AND(OR($B$3="Stage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Girls"))),$B$5&gt;20),MIN(3,MAX(2,Setup!$B$14)),2))*2-1))),AM62=$E$4,TRUE)),COUNTIF($C$32:$C61,AM62)&lt;$B$6,IF($BI62,COUNTIF($C$32:$C61,AM62)&lt;IF($B$3="Stage 1",MIN($B$6,MAX(1,INT($B$5/$B$11))),IF(AND($B$3="Stage 3",$B$5=20,$B$11&gt;11),1,IF(AND($B$3="Stage 3",OR($B$15="Year 10-11-12 Girls"),$B$5&gt;20),MAX(2,Setup!$B$14),Setup!$B$14))),IF(AND($B$3&lt;&gt;"Stage 2",$B$3&lt;&gt;"Stage 3"),TRUE,IF($U62,TRUE,COUNTIF($C$32:$C61,AM62)&lt;IF(AND($B$3="Stage 2",$B$5=20,AM62=$E$5,$A62&lt;=IF($B$8="One Keeper",$B$5,$B$8)),2,IF(AND(OR($B$3="Stage 2",AND($B$3="Stage 3",OR($B$15="Year 10-11-12 Girls"))),AM62=$E$5,$A62&lt;=IF($B$8="One Keeper",$B$5,$B$8)),3,$B$9)))))))</f>
        <v>0</v>
      </c>
      <c r="BA62" s="20" t="b">
        <f>IF(AN62="",FALSE,AND(AN62&lt;&gt;$B62,AN62&lt;&gt;$C61,IFERROR(INDEX($E$18:$E$30,MATCH(AN62,$B$18:$B$30,0)),"No")="Yes",IF(AND(OR($B$3="Stage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Girls"))),$B$5&gt;20),MIN(3,MAX(2,Setup!$B$14)),2))*2),AN62=$E$5,IF(AND(OR($B$3="Stage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Girls"))),$B$5&gt;20),MIN(3,MAX(2,Setup!$B$14)),2))*2-1))),AN62=$E$4,TRUE)),COUNTIF($C$32:$C61,AN62)&lt;$B$6,IF($BI62,COUNTIF($C$32:$C61,AN62)&lt;IF($B$3="Stage 1",MIN($B$6,MAX(1,INT($B$5/$B$11))),IF(AND($B$3="Stage 3",$B$5=20,$B$11&gt;11),1,IF(AND($B$3="Stage 3",OR($B$15="Year 10-11-12 Girls"),$B$5&gt;20),MAX(2,Setup!$B$14),Setup!$B$14))),IF(AND($B$3&lt;&gt;"Stage 2",$B$3&lt;&gt;"Stage 3"),TRUE,IF($U62,TRUE,COUNTIF($C$32:$C61,AN62)&lt;IF(AND($B$3="Stage 2",$B$5=20,AN62=$E$5,$A62&lt;=IF($B$8="One Keeper",$B$5,$B$8)),2,IF(AND(OR($B$3="Stage 2",AND($B$3="Stage 3",OR($B$15="Year 10-11-12 Girls"))),AN62=$E$5,$A62&lt;=IF($B$8="One Keeper",$B$5,$B$8)),3,$B$9)))))))</f>
        <v>0</v>
      </c>
      <c r="BB62" s="20" t="b">
        <f>IF(AO62="",FALSE,AND(AO62&lt;&gt;$B62,AO62&lt;&gt;$C61,IFERROR(INDEX($E$18:$E$30,MATCH(AO62,$B$18:$B$30,0)),"No")="Yes",IF(AND(OR($B$3="Stage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Girls"))),$B$5&gt;20),MIN(3,MAX(2,Setup!$B$14)),2))*2),AO62=$E$5,IF(AND(OR($B$3="Stage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Girls"))),$B$5&gt;20),MIN(3,MAX(2,Setup!$B$14)),2))*2-1))),AO62=$E$4,TRUE)),COUNTIF($C$32:$C61,AO62)&lt;$B$6,IF($BI62,COUNTIF($C$32:$C61,AO62)&lt;IF($B$3="Stage 1",MIN($B$6,MAX(1,INT($B$5/$B$11))),IF(AND($B$3="Stage 3",$B$5=20,$B$11&gt;11),1,IF(AND($B$3="Stage 3",OR($B$15="Year 10-11-12 Girls"),$B$5&gt;20),MAX(2,Setup!$B$14),Setup!$B$14))),IF(AND($B$3&lt;&gt;"Stage 2",$B$3&lt;&gt;"Stage 3"),TRUE,IF($U62,TRUE,COUNTIF($C$32:$C61,AO62)&lt;IF(AND($B$3="Stage 2",$B$5=20,AO62=$E$5,$A62&lt;=IF($B$8="One Keeper",$B$5,$B$8)),2,IF(AND(OR($B$3="Stage 2",AND($B$3="Stage 3",OR($B$15="Year 10-11-12 Girls"))),AO62=$E$5,$A62&lt;=IF($B$8="One Keeper",$B$5,$B$8)),3,$B$9)))))))</f>
        <v>0</v>
      </c>
      <c r="BC62" s="20" t="b">
        <f>IF(AP62="",FALSE,AND(AP62&lt;&gt;$B62,AP62&lt;&gt;$C61,IFERROR(INDEX($E$18:$E$30,MATCH(AP62,$B$18:$B$30,0)),"No")="Yes",IF(AND(OR($B$3="Stage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Girls"))),$B$5&gt;20),MIN(3,MAX(2,Setup!$B$14)),2))*2),AP62=$E$5,IF(AND(OR($B$3="Stage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Girls"))),$B$5&gt;20),MIN(3,MAX(2,Setup!$B$14)),2))*2-1))),AP62=$E$4,TRUE)),COUNTIF($C$32:$C61,AP62)&lt;$B$6,IF($BI62,COUNTIF($C$32:$C61,AP62)&lt;IF($B$3="Stage 1",MIN($B$6,MAX(1,INT($B$5/$B$11))),IF(AND($B$3="Stage 3",$B$5=20,$B$11&gt;11),1,IF(AND($B$3="Stage 3",OR($B$15="Year 10-11-12 Girls"),$B$5&gt;20),MAX(2,Setup!$B$14),Setup!$B$14))),IF(AND($B$3&lt;&gt;"Stage 2",$B$3&lt;&gt;"Stage 3"),TRUE,IF($U62,TRUE,COUNTIF($C$32:$C61,AP62)&lt;IF(AND($B$3="Stage 2",$B$5=20,AP62=$E$5,$A62&lt;=IF($B$8="One Keeper",$B$5,$B$8)),2,IF(AND(OR($B$3="Stage 2",AND($B$3="Stage 3",OR($B$15="Year 10-11-12 Girls"))),AP62=$E$5,$A62&lt;=IF($B$8="One Keeper",$B$5,$B$8)),3,$B$9)))))))</f>
        <v>0</v>
      </c>
      <c r="BD62" s="20" t="b">
        <f>IF(AQ62="",FALSE,AND(AQ62&lt;&gt;$B62,AQ62&lt;&gt;$C61,IFERROR(INDEX($E$18:$E$30,MATCH(AQ62,$B$18:$B$30,0)),"No")="Yes",IF(AND(OR($B$3="Stage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Girls"))),$B$5&gt;20),MIN(3,MAX(2,Setup!$B$14)),2))*2),AQ62=$E$5,IF(AND(OR($B$3="Stage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Girls"))),$B$5&gt;20),MIN(3,MAX(2,Setup!$B$14)),2))*2-1))),AQ62=$E$4,TRUE)),COUNTIF($C$32:$C61,AQ62)&lt;$B$6,IF($BI62,COUNTIF($C$32:$C61,AQ62)&lt;IF($B$3="Stage 1",MIN($B$6,MAX(1,INT($B$5/$B$11))),IF(AND($B$3="Stage 3",$B$5=20,$B$11&gt;11),1,IF(AND($B$3="Stage 3",OR($B$15="Year 10-11-12 Girls"),$B$5&gt;20),MAX(2,Setup!$B$14),Setup!$B$14))),IF(AND($B$3&lt;&gt;"Stage 2",$B$3&lt;&gt;"Stage 3"),TRUE,IF($U62,TRUE,COUNTIF($C$32:$C61,AQ62)&lt;IF(AND($B$3="Stage 2",$B$5=20,AQ62=$E$5,$A62&lt;=IF($B$8="One Keeper",$B$5,$B$8)),2,IF(AND(OR($B$3="Stage 2",AND($B$3="Stage 3",OR($B$15="Year 10-11-12 Girls"))),AQ62=$E$5,$A62&lt;=IF($B$8="One Keeper",$B$5,$B$8)),3,$B$9)))))))</f>
        <v>0</v>
      </c>
      <c r="BE62" s="20" t="b">
        <f>IF(AR62="",FALSE,AND(AR62&lt;&gt;$B62,AR62&lt;&gt;$C61,IFERROR(INDEX($E$18:$E$30,MATCH(AR62,$B$18:$B$30,0)),"No")="Yes",IF(AND(OR($B$3="Stage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Girls"))),$B$5&gt;20),MIN(3,MAX(2,Setup!$B$14)),2))*2),AR62=$E$5,IF(AND(OR($B$3="Stage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Girls"))),$B$5&gt;20),MIN(3,MAX(2,Setup!$B$14)),2))*2-1))),AR62=$E$4,TRUE)),COUNTIF($C$32:$C61,AR62)&lt;$B$6,IF($BI62,COUNTIF($C$32:$C61,AR62)&lt;IF($B$3="Stage 1",MIN($B$6,MAX(1,INT($B$5/$B$11))),IF(AND($B$3="Stage 3",$B$5=20,$B$11&gt;11),1,IF(AND($B$3="Stage 3",OR($B$15="Year 10-11-12 Girls"),$B$5&gt;20),MAX(2,Setup!$B$14),Setup!$B$14))),IF(AND($B$3&lt;&gt;"Stage 2",$B$3&lt;&gt;"Stage 3"),TRUE,IF($U62,TRUE,COUNTIF($C$32:$C61,AR62)&lt;IF(AND($B$3="Stage 2",$B$5=20,AR62=$E$5,$A62&lt;=IF($B$8="One Keeper",$B$5,$B$8)),2,IF(AND(OR($B$3="Stage 2",AND($B$3="Stage 3",OR($B$15="Year 10-11-12 Girls"))),AR62=$E$5,$A62&lt;=IF($B$8="One Keeper",$B$5,$B$8)),3,$B$9)))))))</f>
        <v>0</v>
      </c>
      <c r="BF62" s="20" t="b">
        <f>IF(AS62="",FALSE,AND(AS62&lt;&gt;$B62,AS62&lt;&gt;$C61,IFERROR(INDEX($E$18:$E$30,MATCH(AS62,$B$18:$B$30,0)),"No")="Yes",IF(AND(OR($B$3="Stage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Girls"))),$B$5&gt;20),MIN(3,MAX(2,Setup!$B$14)),2))*2),AS62=$E$5,IF(AND(OR($B$3="Stage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Girls"))),$B$5&gt;20),MIN(3,MAX(2,Setup!$B$14)),2))*2-1))),AS62=$E$4,TRUE)),COUNTIF($C$32:$C61,AS62)&lt;$B$6,IF($BI62,COUNTIF($C$32:$C61,AS62)&lt;IF($B$3="Stage 1",MIN($B$6,MAX(1,INT($B$5/$B$11))),IF(AND($B$3="Stage 3",$B$5=20,$B$11&gt;11),1,IF(AND($B$3="Stage 3",OR($B$15="Year 10-11-12 Girls"),$B$5&gt;20),MAX(2,Setup!$B$14),Setup!$B$14))),IF(AND($B$3&lt;&gt;"Stage 2",$B$3&lt;&gt;"Stage 3"),TRUE,IF($U62,TRUE,COUNTIF($C$32:$C61,AS62)&lt;IF(AND($B$3="Stage 2",$B$5=20,AS62=$E$5,$A62&lt;=IF($B$8="One Keeper",$B$5,$B$8)),2,IF(AND(OR($B$3="Stage 2",AND($B$3="Stage 3",OR($B$15="Year 10-11-12 Girls"))),AS62=$E$5,$A62&lt;=IF($B$8="One Keeper",$B$5,$B$8)),3,$B$9)))))))</f>
        <v>0</v>
      </c>
      <c r="BG62" s="20" t="b">
        <f>IF(AT62="",FALSE,AND(AT62&lt;&gt;$B62,AT62&lt;&gt;$C61,IFERROR(INDEX($E$18:$E$30,MATCH(AT62,$B$18:$B$30,0)),"No")="Yes",IF(AND(OR($B$3="Stage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Girls"))),$B$5&gt;20),MIN(3,MAX(2,Setup!$B$14)),2))*2),AT62=$E$5,IF(AND(OR($B$3="Stage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Girls"))),$B$5&gt;20),MIN(3,MAX(2,Setup!$B$14)),2))*2-1))),AT62=$E$4,TRUE)),COUNTIF($C$32:$C61,AT62)&lt;$B$6,IF($BI62,COUNTIF($C$32:$C61,AT62)&lt;IF($B$3="Stage 1",MIN($B$6,MAX(1,INT($B$5/$B$11))),IF(AND($B$3="Stage 3",$B$5=20,$B$11&gt;11),1,IF(AND($B$3="Stage 3",OR($B$15="Year 10-11-12 Girls"),$B$5&gt;20),MAX(2,Setup!$B$14),Setup!$B$14))),IF(AND($B$3&lt;&gt;"Stage 2",$B$3&lt;&gt;"Stage 3"),TRUE,IF($U62,TRUE,COUNTIF($C$32:$C61,AT62)&lt;IF(AND($B$3="Stage 2",$B$5=20,AT62=$E$5,$A62&lt;=IF($B$8="One Keeper",$B$5,$B$8)),2,IF(AND(OR($B$3="Stage 2",AND($B$3="Stage 3",OR($B$15="Year 10-11-12 Girls"))),AT62=$E$5,$A62&lt;=IF($B$8="One Keeper",$B$5,$B$8)),3,$B$9)))))))</f>
        <v>0</v>
      </c>
      <c r="BH62" s="20" t="b">
        <f>IF(AU62="",FALSE,AND(AU62&lt;&gt;$B62,AU62&lt;&gt;$C61,IFERROR(INDEX($E$18:$E$30,MATCH(AU62,$B$18:$B$30,0)),"No")="Yes",IF(AND(OR($B$3="Stage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Girls"))),$B$5&gt;20),MIN(3,MAX(2,Setup!$B$14)),2))*2),AU62=$E$5,IF(AND(OR($B$3="Stage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Girls"))),$B$5&gt;20),MIN(3,MAX(2,Setup!$B$14)),2))*2-1))),AU62=$E$4,TRUE)),COUNTIF($C$32:$C61,AU62)&lt;$B$6,IF($BI62,COUNTIF($C$32:$C61,AU62)&lt;IF($B$3="Stage 1",MIN($B$6,MAX(1,INT($B$5/$B$11))),IF(AND($B$3="Stage 3",$B$5=20,$B$11&gt;11),1,IF(AND($B$3="Stage 3",OR($B$15="Year 10-11-12 Girls"),$B$5&gt;20),MAX(2,Setup!$B$14),Setup!$B$14))),IF(AND($B$3&lt;&gt;"Stage 2",$B$3&lt;&gt;"Stage 3"),TRUE,IF($U62,TRUE,COUNTIF($C$32:$C61,AU62)&lt;IF(AND($B$3="Stage 2",$B$5=20,AU62=$E$5,$A62&lt;=IF($B$8="One Keeper",$B$5,$B$8)),2,IF(AND(OR($B$3="Stage 2",AND($B$3="Stage 3",OR($B$15="Year 10-11-12 Girls"))),AU62=$E$5,$A62&lt;=IF($B$8="One Keeper",$B$5,$B$8)),3,$B$9)))))))</f>
        <v>0</v>
      </c>
      <c r="BI62"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Keeper",$E$4&lt;&gt;$E$5,$A62&lt;=IF($B$8="One Keeper",$B$5,$B$8),COUNTIF($C$32:$C61,$E$5)&lt;IF(AND($B$3="Stage 3",$B$5=20,$B$11&gt;11),1,IF(AND(OR($B$3="Stage 2",AND($B$3="Stage 3",OR($B$15="Year 10-11-12 Girls"))),$B$5&gt;20),MIN(3,MAX(2,Setup!$B$14)),2)),IFERROR(INDEX($E$18:$E$30,MATCH($E$5,$B$18:$B$30,0)),"No")="Yes",$C61&lt;&gt;$E$5,MOD($A62,2)=0,$A62&lt;=IF(AND($B$3="Stage 3",$B$5=20,$B$11&gt;11),1,IF(AND(OR($B$3="Stage 2",AND($B$3="Stage 3",OR($B$15="Year 10-11-12 Girls"))),$B$5&gt;20),MIN(3,MAX(2,Setup!$B$14)),2))*2),AND(OR($B$3="Stage 1",$B$3="Stage 2",AND($B$3="Stage 3",OR(OR($B$15="Year 10-11-12 Girls"),OR($B$15="Year 8 Boys",$B$15="Year 9 Boys",$B$15="Year 10-11 Boys")))),$B$8&lt;&gt;"One Keeper",$E$4&lt;&gt;$E$5,$A62&gt;IF($B$8="One Keeper",$B$5,$B$8),COUNTIF($C$32:$C61,$E$4)&lt;IF(AND($B$3="Stage 3",$B$5=20,$B$11&gt;11),1,IF(AND(OR($B$3="Stage 2",AND($B$3="Stage 3",OR($B$15="Year 10-11-12 Girls"))),$B$5&gt;20),MIN(3,MAX(2,Setup!$B$14)),2)),IFERROR(INDEX($E$18:$E$30,MATCH($E$4,$B$18:$B$30,0)),"No")="Yes",$C61&lt;&gt;$E$4,IF($B$7="Three-over spell",AND(MOD($A62-IF($B$8="One Keeper",$B$5,$B$8)-1,3)=0,($A62-IF($B$8="One Keeper",$B$5,$B$8))&lt;=1+(IF(AND($B$3="Stage 3",$B$5=20,$B$11&gt;11),1,IF(AND(OR($B$3="Stage 2",AND($B$3="Stage 3",OR($B$15="Year 10-11-12 Girls"))),$B$5&gt;20),MIN(3,MAX(2,Setup!$B$14)),2))-1)*3),AND(MOD($A62-IF($B$8="One Keeper",$B$5,$B$8),2)=1,($A62-IF($B$8="One Keeper",$B$5,$B$8))&lt;=IF(AND($B$3="Stage 3",$B$5=20,$B$11&gt;11),1,IF(AND(OR($B$3="Stage 2",AND($B$3="Stage 3",OR($B$15="Year 10-11-12 Girls"))),$B$5&gt;20),MIN(3,MAX(2,Setup!$B$14)),2))*2-1))))),OR($U62,AND($B$3="Stage 3",$B$5=20,$B$11&gt;11)),OR($BJ62,$BK62,$BL62,$BM62,$BN62,$BO62,$BP62,$BQ62,$BR62,$BS62,$BT62,$BU62,$BV62))</f>
        <v>0</v>
      </c>
      <c r="BJ62" s="20" t="b">
        <f>IF(AI62="",FALSE,AND(AI62&lt;&gt;IF(AND($B$3="Stage 3",OR($B$15="Year 8 Boys",$B$15="Year 9 Boys",$B$15="Year 10-11 Boys"),$B$8="One Keeper"),$E$4,""),AI62&lt;&gt;$B62,AI62&lt;&gt;$C61,IFERROR(INDEX($E$18:$E$30,MATCH(AI62,$B$18:$B$30,0)),"No")="Yes",COUNTIF($C$32:$C61,AI62)&lt;$B$6,COUNTIF($C$32:$C61,AI62)&lt;IF($B$3="Stage 1",MIN($B$6,MAX(1,INT($B$5/$B$11))),IF(AND($B$3="Stage 3",$B$5=20,$B$11&gt;11),1,IF(AND($B$3="Stage 3",OR($B$15="Year 10-11-12 Girls"),$B$5&gt;20),MAX(2,Setup!$B$14),Setup!$B$14)))))</f>
        <v>0</v>
      </c>
      <c r="BK62" s="20" t="b">
        <f>IF(AJ62="",FALSE,AND(AJ62&lt;&gt;IF(AND($B$3="Stage 3",OR($B$15="Year 8 Boys",$B$15="Year 9 Boys",$B$15="Year 10-11 Boys"),$B$8="One Keeper"),$E$4,""),AJ62&lt;&gt;$B62,AJ62&lt;&gt;$C61,IFERROR(INDEX($E$18:$E$30,MATCH(AJ62,$B$18:$B$30,0)),"No")="Yes",COUNTIF($C$32:$C61,AJ62)&lt;$B$6,COUNTIF($C$32:$C61,AJ62)&lt;IF($B$3="Stage 1",MIN($B$6,MAX(1,INT($B$5/$B$11))),IF(AND($B$3="Stage 3",$B$5=20,$B$11&gt;11),1,IF(AND($B$3="Stage 3",OR($B$15="Year 10-11-12 Girls"),$B$5&gt;20),MAX(2,Setup!$B$14),Setup!$B$14)))))</f>
        <v>0</v>
      </c>
      <c r="BL62" s="20" t="b">
        <f>IF(AK62="",FALSE,AND(AK62&lt;&gt;IF(AND($B$3="Stage 3",OR($B$15="Year 8 Boys",$B$15="Year 9 Boys",$B$15="Year 10-11 Boys"),$B$8="One Keeper"),$E$4,""),AK62&lt;&gt;$B62,AK62&lt;&gt;$C61,IFERROR(INDEX($E$18:$E$30,MATCH(AK62,$B$18:$B$30,0)),"No")="Yes",COUNTIF($C$32:$C61,AK62)&lt;$B$6,COUNTIF($C$32:$C61,AK62)&lt;IF($B$3="Stage 1",MIN($B$6,MAX(1,INT($B$5/$B$11))),IF(AND($B$3="Stage 3",$B$5=20,$B$11&gt;11),1,IF(AND($B$3="Stage 3",OR($B$15="Year 10-11-12 Girls"),$B$5&gt;20),MAX(2,Setup!$B$14),Setup!$B$14)))))</f>
        <v>0</v>
      </c>
      <c r="BM62" s="20" t="b">
        <f>IF(AL62="",FALSE,AND(AL62&lt;&gt;IF(AND($B$3="Stage 3",OR($B$15="Year 8 Boys",$B$15="Year 9 Boys",$B$15="Year 10-11 Boys"),$B$8="One Keeper"),$E$4,""),AL62&lt;&gt;$B62,AL62&lt;&gt;$C61,IFERROR(INDEX($E$18:$E$30,MATCH(AL62,$B$18:$B$30,0)),"No")="Yes",COUNTIF($C$32:$C61,AL62)&lt;$B$6,COUNTIF($C$32:$C61,AL62)&lt;IF($B$3="Stage 1",MIN($B$6,MAX(1,INT($B$5/$B$11))),IF(AND($B$3="Stage 3",$B$5=20,$B$11&gt;11),1,IF(AND($B$3="Stage 3",OR($B$15="Year 10-11-12 Girls"),$B$5&gt;20),MAX(2,Setup!$B$14),Setup!$B$14)))))</f>
        <v>0</v>
      </c>
      <c r="BN62" s="20" t="b">
        <f>IF(AM62="",FALSE,AND(AM62&lt;&gt;IF(AND($B$3="Stage 3",OR($B$15="Year 8 Boys",$B$15="Year 9 Boys",$B$15="Year 10-11 Boys"),$B$8="One Keeper"),$E$4,""),AM62&lt;&gt;$B62,AM62&lt;&gt;$C61,IFERROR(INDEX($E$18:$E$30,MATCH(AM62,$B$18:$B$30,0)),"No")="Yes",COUNTIF($C$32:$C61,AM62)&lt;$B$6,COUNTIF($C$32:$C61,AM62)&lt;IF($B$3="Stage 1",MIN($B$6,MAX(1,INT($B$5/$B$11))),IF(AND($B$3="Stage 3",$B$5=20,$B$11&gt;11),1,IF(AND($B$3="Stage 3",OR($B$15="Year 10-11-12 Girls"),$B$5&gt;20),MAX(2,Setup!$B$14),Setup!$B$14)))))</f>
        <v>0</v>
      </c>
      <c r="BO62" s="20" t="b">
        <f>IF(AN62="",FALSE,AND(AN62&lt;&gt;IF(AND($B$3="Stage 3",OR($B$15="Year 8 Boys",$B$15="Year 9 Boys",$B$15="Year 10-11 Boys"),$B$8="One Keeper"),$E$4,""),AN62&lt;&gt;$B62,AN62&lt;&gt;$C61,IFERROR(INDEX($E$18:$E$30,MATCH(AN62,$B$18:$B$30,0)),"No")="Yes",COUNTIF($C$32:$C61,AN62)&lt;$B$6,COUNTIF($C$32:$C61,AN62)&lt;IF($B$3="Stage 1",MIN($B$6,MAX(1,INT($B$5/$B$11))),IF(AND($B$3="Stage 3",$B$5=20,$B$11&gt;11),1,IF(AND($B$3="Stage 3",OR($B$15="Year 10-11-12 Girls"),$B$5&gt;20),MAX(2,Setup!$B$14),Setup!$B$14)))))</f>
        <v>0</v>
      </c>
      <c r="BP62" s="20" t="b">
        <f>IF(AO62="",FALSE,AND(AO62&lt;&gt;IF(AND($B$3="Stage 3",OR($B$15="Year 8 Boys",$B$15="Year 9 Boys",$B$15="Year 10-11 Boys"),$B$8="One Keeper"),$E$4,""),AO62&lt;&gt;$B62,AO62&lt;&gt;$C61,IFERROR(INDEX($E$18:$E$30,MATCH(AO62,$B$18:$B$30,0)),"No")="Yes",COUNTIF($C$32:$C61,AO62)&lt;$B$6,COUNTIF($C$32:$C61,AO62)&lt;IF($B$3="Stage 1",MIN($B$6,MAX(1,INT($B$5/$B$11))),IF(AND($B$3="Stage 3",$B$5=20,$B$11&gt;11),1,IF(AND($B$3="Stage 3",OR($B$15="Year 10-11-12 Girls"),$B$5&gt;20),MAX(2,Setup!$B$14),Setup!$B$14)))))</f>
        <v>0</v>
      </c>
      <c r="BQ62" s="20" t="b">
        <f>IF(AP62="",FALSE,AND(AP62&lt;&gt;IF(AND($B$3="Stage 3",OR($B$15="Year 8 Boys",$B$15="Year 9 Boys",$B$15="Year 10-11 Boys"),$B$8="One Keeper"),$E$4,""),AP62&lt;&gt;$B62,AP62&lt;&gt;$C61,IFERROR(INDEX($E$18:$E$30,MATCH(AP62,$B$18:$B$30,0)),"No")="Yes",COUNTIF($C$32:$C61,AP62)&lt;$B$6,COUNTIF($C$32:$C61,AP62)&lt;IF($B$3="Stage 1",MIN($B$6,MAX(1,INT($B$5/$B$11))),IF(AND($B$3="Stage 3",$B$5=20,$B$11&gt;11),1,IF(AND($B$3="Stage 3",OR($B$15="Year 10-11-12 Girls"),$B$5&gt;20),MAX(2,Setup!$B$14),Setup!$B$14)))))</f>
        <v>0</v>
      </c>
      <c r="BR62" s="20" t="b">
        <f>IF(AQ62="",FALSE,AND(AQ62&lt;&gt;IF(AND($B$3="Stage 3",OR($B$15="Year 8 Boys",$B$15="Year 9 Boys",$B$15="Year 10-11 Boys"),$B$8="One Keeper"),$E$4,""),AQ62&lt;&gt;$B62,AQ62&lt;&gt;$C61,IFERROR(INDEX($E$18:$E$30,MATCH(AQ62,$B$18:$B$30,0)),"No")="Yes",COUNTIF($C$32:$C61,AQ62)&lt;$B$6,COUNTIF($C$32:$C61,AQ62)&lt;IF($B$3="Stage 1",MIN($B$6,MAX(1,INT($B$5/$B$11))),IF(AND($B$3="Stage 3",$B$5=20,$B$11&gt;11),1,IF(AND($B$3="Stage 3",OR($B$15="Year 10-11-12 Girls"),$B$5&gt;20),MAX(2,Setup!$B$14),Setup!$B$14)))))</f>
        <v>0</v>
      </c>
      <c r="BS62" s="20" t="b">
        <f>IF(AR62="",FALSE,AND(AR62&lt;&gt;IF(AND($B$3="Stage 3",OR($B$15="Year 8 Boys",$B$15="Year 9 Boys",$B$15="Year 10-11 Boys"),$B$8="One Keeper"),$E$4,""),AR62&lt;&gt;$B62,AR62&lt;&gt;$C61,IFERROR(INDEX($E$18:$E$30,MATCH(AR62,$B$18:$B$30,0)),"No")="Yes",COUNTIF($C$32:$C61,AR62)&lt;$B$6,COUNTIF($C$32:$C61,AR62)&lt;IF($B$3="Stage 1",MIN($B$6,MAX(1,INT($B$5/$B$11))),IF(AND($B$3="Stage 3",$B$5=20,$B$11&gt;11),1,IF(AND($B$3="Stage 3",OR($B$15="Year 10-11-12 Girls"),$B$5&gt;20),MAX(2,Setup!$B$14),Setup!$B$14)))))</f>
        <v>0</v>
      </c>
      <c r="BT62" s="20" t="b">
        <f>IF(AS62="",FALSE,AND(AS62&lt;&gt;IF(AND($B$3="Stage 3",OR($B$15="Year 8 Boys",$B$15="Year 9 Boys",$B$15="Year 10-11 Boys"),$B$8="One Keeper"),$E$4,""),AS62&lt;&gt;$B62,AS62&lt;&gt;$C61,IFERROR(INDEX($E$18:$E$30,MATCH(AS62,$B$18:$B$30,0)),"No")="Yes",COUNTIF($C$32:$C61,AS62)&lt;$B$6,COUNTIF($C$32:$C61,AS62)&lt;IF($B$3="Stage 1",MIN($B$6,MAX(1,INT($B$5/$B$11))),IF(AND($B$3="Stage 3",$B$5=20,$B$11&gt;11),1,IF(AND($B$3="Stage 3",OR($B$15="Year 10-11-12 Girls"),$B$5&gt;20),MAX(2,Setup!$B$14),Setup!$B$14)))))</f>
        <v>0</v>
      </c>
      <c r="BU62" s="20" t="b">
        <f>IF(AT62="",FALSE,AND(AT62&lt;&gt;IF(AND($B$3="Stage 3",OR($B$15="Year 8 Boys",$B$15="Year 9 Boys",$B$15="Year 10-11 Boys"),$B$8="One Keeper"),$E$4,""),AT62&lt;&gt;$B62,AT62&lt;&gt;$C61,IFERROR(INDEX($E$18:$E$30,MATCH(AT62,$B$18:$B$30,0)),"No")="Yes",COUNTIF($C$32:$C61,AT62)&lt;$B$6,COUNTIF($C$32:$C61,AT62)&lt;IF($B$3="Stage 1",MIN($B$6,MAX(1,INT($B$5/$B$11))),IF(AND($B$3="Stage 3",$B$5=20,$B$11&gt;11),1,IF(AND($B$3="Stage 3",OR($B$15="Year 10-11-12 Girls"),$B$5&gt;20),MAX(2,Setup!$B$14),Setup!$B$14)))))</f>
        <v>0</v>
      </c>
      <c r="BV62" s="20" t="b">
        <f>IF(AU62="",FALSE,AND(AU62&lt;&gt;IF(AND($B$3="Stage 3",OR($B$15="Year 8 Boys",$B$15="Year 9 Boys",$B$15="Year 10-11 Boys"),$B$8="One Keeper"),$E$4,""),AU62&lt;&gt;$B62,AU62&lt;&gt;$C61,IFERROR(INDEX($E$18:$E$30,MATCH(AU62,$B$18:$B$30,0)),"No")="Yes",COUNTIF($C$32:$C61,AU62)&lt;$B$6,COUNTIF($C$32:$C61,AU62)&lt;IF($B$3="Stage 1",MIN($B$6,MAX(1,INT($B$5/$B$11))),IF(AND($B$3="Stage 3",$B$5=20,$B$11&gt;11),1,IF(AND($B$3="Stage 3",OR($B$15="Year 10-11-12 Girls"),$B$5&gt;20),MAX(2,Setup!$B$14),Setup!$B$14)))))</f>
        <v>0</v>
      </c>
      <c r="BW62" s="20"/>
      <c r="BX62" s="20"/>
      <c r="BY62" s="20"/>
      <c r="BZ62" s="20"/>
      <c r="CA62" s="20"/>
      <c r="CB62" s="20"/>
      <c r="CC62" s="20"/>
      <c r="CD62" s="20"/>
      <c r="CE62" s="20"/>
      <c r="CF62" s="20"/>
      <c r="CG62" s="20"/>
      <c r="CH62" s="20"/>
      <c r="CI62" s="20"/>
      <c r="CJ62" s="20"/>
      <c r="CK62" s="20"/>
    </row>
    <row r="63" spans="1:89" ht="15" customHeight="1">
      <c r="A63" s="18">
        <v>32</v>
      </c>
      <c r="B63" s="18" t="str">
        <f t="shared" si="5"/>
        <v/>
      </c>
      <c r="C63" s="18" t="str">
        <f t="shared" si="6"/>
        <v/>
      </c>
      <c r="D63" s="18">
        <f t="shared" si="7"/>
        <v>8</v>
      </c>
      <c r="E63" s="18" t="str">
        <f>IF($C63="","",COUNTIF($C$32:C63,$C63))</f>
        <v/>
      </c>
      <c r="F63" s="18" t="str">
        <f t="shared" si="8"/>
        <v/>
      </c>
      <c r="T63" s="20" t="str">
        <f t="shared" si="15"/>
        <v/>
      </c>
      <c r="U63" s="20" t="b">
        <f>IF(OR($B$3="Stage 2",AND($B$3="Stage 3",OR($B$15="Year 10-11-12 Girls"))),(IF(AND($P$18&lt;&gt;"",$P$18&lt;&gt;$E$4,COUNTIF($C$32:$C62,$P$18)&gt;=2),1,0)+IF(AND($P$19&lt;&gt;"",$P$19&lt;&gt;$E$4,COUNTIF($C$32:$C62,$P$19)&gt;=2),1,0)+IF(AND($P$20&lt;&gt;"",$P$20&lt;&gt;$E$4,COUNTIF($C$32:$C62,$P$20)&gt;=2),1,0)+IF(AND($P$21&lt;&gt;"",$P$21&lt;&gt;$E$4,COUNTIF($C$32:$C62,$P$21)&gt;=2),1,0)+IF(AND($P$22&lt;&gt;"",$P$22&lt;&gt;$E$4,COUNTIF($C$32:$C62,$P$22)&gt;=2),1,0)+IF(AND($P$23&lt;&gt;"",$P$23&lt;&gt;$E$4,COUNTIF($C$32:$C62,$P$23)&gt;=2),1,0)+IF(AND($P$24&lt;&gt;"",$P$24&lt;&gt;$E$4,COUNTIF($C$32:$C62,$P$24)&gt;=2),1,0)+IF(AND($P$25&lt;&gt;"",$P$25&lt;&gt;$E$4,COUNTIF($C$32:$C62,$P$25)&gt;=2),1,0)+IF(AND($P$26&lt;&gt;"",$P$26&lt;&gt;$E$4,COUNTIF($C$32:$C62,$P$26)&gt;=2),1,0)+IF(AND($P$27&lt;&gt;"",$P$27&lt;&gt;$E$4,COUNTIF($C$32:$C62,$P$27)&gt;=2),1,0)+IF(AND($P$28&lt;&gt;"",$P$28&lt;&gt;$E$4,COUNTIF($C$32:$C62,$P$28)&gt;=2),1,0)+IF(AND($P$29&lt;&gt;"",$P$29&lt;&gt;$E$4,COUNTIF($C$32:$C62,$P$29)&gt;=2),1,0)+IF(AND($P$30&lt;&gt;"",$P$30&lt;&gt;$E$4,COUNTIF($C$32:$C62,$P$30)&gt;=2),1,0))&gt;=MAX(0,$B$11-1),IF(AND($B$3="Stage 3",OR($B$15="Year 8 Boys",$B$15="Year 9 Boys",$B$15="Year 10-11 Boys")),(IF(AND($P$18&lt;&gt;"",COUNTIF($C$32:$C62,$P$18)&gt;=2),1,0)+IF(AND($P$19&lt;&gt;"",COUNTIF($C$32:$C62,$P$19)&gt;=2),1,0)+IF(AND($P$20&lt;&gt;"",COUNTIF($C$32:$C62,$P$20)&gt;=2),1,0)+IF(AND($P$21&lt;&gt;"",COUNTIF($C$32:$C62,$P$21)&gt;=2),1,0)+IF(AND($P$22&lt;&gt;"",COUNTIF($C$32:$C62,$P$22)&gt;=2),1,0)+IF(AND($P$23&lt;&gt;"",COUNTIF($C$32:$C62,$P$23)&gt;=2),1,0)+IF(AND($P$24&lt;&gt;"",COUNTIF($C$32:$C62,$P$24)&gt;=2),1,0)+IF(AND($P$25&lt;&gt;"",COUNTIF($C$32:$C62,$P$25)&gt;=2),1,0)+IF(AND($P$26&lt;&gt;"",COUNTIF($C$32:$C62,$P$26)&gt;=2),1,0)+IF(AND($P$27&lt;&gt;"",COUNTIF($C$32:$C62,$P$27)&gt;=2),1,0)+IF(AND($P$28&lt;&gt;"",COUNTIF($C$32:$C62,$P$28)&gt;=2),1,0)+IF(AND($P$29&lt;&gt;"",COUNTIF($C$32:$C62,$P$29)&gt;=2),1,0)+IF(AND($P$30&lt;&gt;"",COUNTIF($C$32:$C62,$P$30)&gt;=2),1,0))&gt;=7,TRUE))</f>
        <v>1</v>
      </c>
      <c r="V63" s="20" t="str">
        <f t="shared" si="32"/>
        <v/>
      </c>
      <c r="W63" s="20" t="str">
        <f t="shared" si="32"/>
        <v/>
      </c>
      <c r="X63" s="20" t="str">
        <f t="shared" si="32"/>
        <v/>
      </c>
      <c r="Y63" s="20" t="str">
        <f t="shared" si="32"/>
        <v/>
      </c>
      <c r="Z63" s="20" t="str">
        <f t="shared" si="32"/>
        <v/>
      </c>
      <c r="AA63" s="20" t="str">
        <f t="shared" si="32"/>
        <v/>
      </c>
      <c r="AB63" s="20" t="str">
        <f t="shared" si="32"/>
        <v/>
      </c>
      <c r="AC63" s="20" t="str">
        <f t="shared" si="32"/>
        <v/>
      </c>
      <c r="AD63" s="20" t="str">
        <f t="shared" si="32"/>
        <v/>
      </c>
      <c r="AE63" s="20" t="str">
        <f t="shared" si="32"/>
        <v/>
      </c>
      <c r="AF63" s="20" t="str">
        <f t="shared" si="32"/>
        <v/>
      </c>
      <c r="AG63" s="20" t="str">
        <f t="shared" si="32"/>
        <v/>
      </c>
      <c r="AH63" s="20" t="str">
        <f t="shared" si="32"/>
        <v/>
      </c>
      <c r="AI63" s="20" t="str">
        <f t="shared" si="17"/>
        <v/>
      </c>
      <c r="AJ63" s="20" t="str">
        <f t="shared" si="18"/>
        <v/>
      </c>
      <c r="AK63" s="20" t="str">
        <f t="shared" si="19"/>
        <v/>
      </c>
      <c r="AL63" s="20" t="str">
        <f t="shared" si="20"/>
        <v/>
      </c>
      <c r="AM63" s="20" t="str">
        <f t="shared" si="21"/>
        <v/>
      </c>
      <c r="AN63" s="20" t="str">
        <f t="shared" si="22"/>
        <v/>
      </c>
      <c r="AO63" s="20" t="str">
        <f t="shared" si="23"/>
        <v/>
      </c>
      <c r="AP63" s="20" t="str">
        <f t="shared" si="24"/>
        <v/>
      </c>
      <c r="AQ63" s="20" t="str">
        <f t="shared" si="25"/>
        <v/>
      </c>
      <c r="AR63" s="20" t="str">
        <f t="shared" si="26"/>
        <v/>
      </c>
      <c r="AS63" s="20" t="str">
        <f t="shared" si="27"/>
        <v/>
      </c>
      <c r="AT63" s="20" t="str">
        <f t="shared" si="28"/>
        <v/>
      </c>
      <c r="AU63" s="20" t="str">
        <f t="shared" si="29"/>
        <v/>
      </c>
      <c r="AV63" s="20" t="b">
        <f>IF(AI63="",FALSE,AND(AI63&lt;&gt;$B63,AI63&lt;&gt;$C62,IFERROR(INDEX($E$18:$E$30,MATCH(AI63,$B$18:$B$30,0)),"No")="Yes",IF(AND(OR($B$3="Stage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Girls"))),$B$5&gt;20),MIN(3,MAX(2,Setup!$B$14)),2))*2),AI63=$E$5,IF(AND(OR($B$3="Stage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Girls"))),$B$5&gt;20),MIN(3,MAX(2,Setup!$B$14)),2))*2-1))),AI63=$E$4,TRUE)),COUNTIF($C$32:$C62,AI63)&lt;$B$6,IF($BI63,COUNTIF($C$32:$C62,AI63)&lt;IF($B$3="Stage 1",MIN($B$6,MAX(1,INT($B$5/$B$11))),IF(AND($B$3="Stage 3",$B$5=20,$B$11&gt;11),1,IF(AND($B$3="Stage 3",OR($B$15="Year 10-11-12 Girls"),$B$5&gt;20),MAX(2,Setup!$B$14),Setup!$B$14))),IF(AND($B$3&lt;&gt;"Stage 2",$B$3&lt;&gt;"Stage 3"),TRUE,IF($U63,TRUE,COUNTIF($C$32:$C62,AI63)&lt;IF(AND($B$3="Stage 2",$B$5=20,AI63=$E$5,$A63&lt;=IF($B$8="One Keeper",$B$5,$B$8)),2,IF(AND(OR($B$3="Stage 2",AND($B$3="Stage 3",OR($B$15="Year 10-11-12 Girls"))),AI63=$E$5,$A63&lt;=IF($B$8="One Keeper",$B$5,$B$8)),3,$B$9)))))))</f>
        <v>0</v>
      </c>
      <c r="AW63" s="20" t="b">
        <f>IF(AJ63="",FALSE,AND(AJ63&lt;&gt;$B63,AJ63&lt;&gt;$C62,IFERROR(INDEX($E$18:$E$30,MATCH(AJ63,$B$18:$B$30,0)),"No")="Yes",IF(AND(OR($B$3="Stage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Girls"))),$B$5&gt;20),MIN(3,MAX(2,Setup!$B$14)),2))*2),AJ63=$E$5,IF(AND(OR($B$3="Stage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Girls"))),$B$5&gt;20),MIN(3,MAX(2,Setup!$B$14)),2))*2-1))),AJ63=$E$4,TRUE)),COUNTIF($C$32:$C62,AJ63)&lt;$B$6,IF($BI63,COUNTIF($C$32:$C62,AJ63)&lt;IF($B$3="Stage 1",MIN($B$6,MAX(1,INT($B$5/$B$11))),IF(AND($B$3="Stage 3",$B$5=20,$B$11&gt;11),1,IF(AND($B$3="Stage 3",OR($B$15="Year 10-11-12 Girls"),$B$5&gt;20),MAX(2,Setup!$B$14),Setup!$B$14))),IF(AND($B$3&lt;&gt;"Stage 2",$B$3&lt;&gt;"Stage 3"),TRUE,IF($U63,TRUE,COUNTIF($C$32:$C62,AJ63)&lt;IF(AND($B$3="Stage 2",$B$5=20,AJ63=$E$5,$A63&lt;=IF($B$8="One Keeper",$B$5,$B$8)),2,IF(AND(OR($B$3="Stage 2",AND($B$3="Stage 3",OR($B$15="Year 10-11-12 Girls"))),AJ63=$E$5,$A63&lt;=IF($B$8="One Keeper",$B$5,$B$8)),3,$B$9)))))))</f>
        <v>0</v>
      </c>
      <c r="AX63" s="20" t="b">
        <f>IF(AK63="",FALSE,AND(AK63&lt;&gt;$B63,AK63&lt;&gt;$C62,IFERROR(INDEX($E$18:$E$30,MATCH(AK63,$B$18:$B$30,0)),"No")="Yes",IF(AND(OR($B$3="Stage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Girls"))),$B$5&gt;20),MIN(3,MAX(2,Setup!$B$14)),2))*2),AK63=$E$5,IF(AND(OR($B$3="Stage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Girls"))),$B$5&gt;20),MIN(3,MAX(2,Setup!$B$14)),2))*2-1))),AK63=$E$4,TRUE)),COUNTIF($C$32:$C62,AK63)&lt;$B$6,IF($BI63,COUNTIF($C$32:$C62,AK63)&lt;IF($B$3="Stage 1",MIN($B$6,MAX(1,INT($B$5/$B$11))),IF(AND($B$3="Stage 3",$B$5=20,$B$11&gt;11),1,IF(AND($B$3="Stage 3",OR($B$15="Year 10-11-12 Girls"),$B$5&gt;20),MAX(2,Setup!$B$14),Setup!$B$14))),IF(AND($B$3&lt;&gt;"Stage 2",$B$3&lt;&gt;"Stage 3"),TRUE,IF($U63,TRUE,COUNTIF($C$32:$C62,AK63)&lt;IF(AND($B$3="Stage 2",$B$5=20,AK63=$E$5,$A63&lt;=IF($B$8="One Keeper",$B$5,$B$8)),2,IF(AND(OR($B$3="Stage 2",AND($B$3="Stage 3",OR($B$15="Year 10-11-12 Girls"))),AK63=$E$5,$A63&lt;=IF($B$8="One Keeper",$B$5,$B$8)),3,$B$9)))))))</f>
        <v>0</v>
      </c>
      <c r="AY63" s="20" t="b">
        <f>IF(AL63="",FALSE,AND(AL63&lt;&gt;$B63,AL63&lt;&gt;$C62,IFERROR(INDEX($E$18:$E$30,MATCH(AL63,$B$18:$B$30,0)),"No")="Yes",IF(AND(OR($B$3="Stage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Girls"))),$B$5&gt;20),MIN(3,MAX(2,Setup!$B$14)),2))*2),AL63=$E$5,IF(AND(OR($B$3="Stage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Girls"))),$B$5&gt;20),MIN(3,MAX(2,Setup!$B$14)),2))*2-1))),AL63=$E$4,TRUE)),COUNTIF($C$32:$C62,AL63)&lt;$B$6,IF($BI63,COUNTIF($C$32:$C62,AL63)&lt;IF($B$3="Stage 1",MIN($B$6,MAX(1,INT($B$5/$B$11))),IF(AND($B$3="Stage 3",$B$5=20,$B$11&gt;11),1,IF(AND($B$3="Stage 3",OR($B$15="Year 10-11-12 Girls"),$B$5&gt;20),MAX(2,Setup!$B$14),Setup!$B$14))),IF(AND($B$3&lt;&gt;"Stage 2",$B$3&lt;&gt;"Stage 3"),TRUE,IF($U63,TRUE,COUNTIF($C$32:$C62,AL63)&lt;IF(AND($B$3="Stage 2",$B$5=20,AL63=$E$5,$A63&lt;=IF($B$8="One Keeper",$B$5,$B$8)),2,IF(AND(OR($B$3="Stage 2",AND($B$3="Stage 3",OR($B$15="Year 10-11-12 Girls"))),AL63=$E$5,$A63&lt;=IF($B$8="One Keeper",$B$5,$B$8)),3,$B$9)))))))</f>
        <v>0</v>
      </c>
      <c r="AZ63" s="20" t="b">
        <f>IF(AM63="",FALSE,AND(AM63&lt;&gt;$B63,AM63&lt;&gt;$C62,IFERROR(INDEX($E$18:$E$30,MATCH(AM63,$B$18:$B$30,0)),"No")="Yes",IF(AND(OR($B$3="Stage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Girls"))),$B$5&gt;20),MIN(3,MAX(2,Setup!$B$14)),2))*2),AM63=$E$5,IF(AND(OR($B$3="Stage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Girls"))),$B$5&gt;20),MIN(3,MAX(2,Setup!$B$14)),2))*2-1))),AM63=$E$4,TRUE)),COUNTIF($C$32:$C62,AM63)&lt;$B$6,IF($BI63,COUNTIF($C$32:$C62,AM63)&lt;IF($B$3="Stage 1",MIN($B$6,MAX(1,INT($B$5/$B$11))),IF(AND($B$3="Stage 3",$B$5=20,$B$11&gt;11),1,IF(AND($B$3="Stage 3",OR($B$15="Year 10-11-12 Girls"),$B$5&gt;20),MAX(2,Setup!$B$14),Setup!$B$14))),IF(AND($B$3&lt;&gt;"Stage 2",$B$3&lt;&gt;"Stage 3"),TRUE,IF($U63,TRUE,COUNTIF($C$32:$C62,AM63)&lt;IF(AND($B$3="Stage 2",$B$5=20,AM63=$E$5,$A63&lt;=IF($B$8="One Keeper",$B$5,$B$8)),2,IF(AND(OR($B$3="Stage 2",AND($B$3="Stage 3",OR($B$15="Year 10-11-12 Girls"))),AM63=$E$5,$A63&lt;=IF($B$8="One Keeper",$B$5,$B$8)),3,$B$9)))))))</f>
        <v>0</v>
      </c>
      <c r="BA63" s="20" t="b">
        <f>IF(AN63="",FALSE,AND(AN63&lt;&gt;$B63,AN63&lt;&gt;$C62,IFERROR(INDEX($E$18:$E$30,MATCH(AN63,$B$18:$B$30,0)),"No")="Yes",IF(AND(OR($B$3="Stage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Girls"))),$B$5&gt;20),MIN(3,MAX(2,Setup!$B$14)),2))*2),AN63=$E$5,IF(AND(OR($B$3="Stage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Girls"))),$B$5&gt;20),MIN(3,MAX(2,Setup!$B$14)),2))*2-1))),AN63=$E$4,TRUE)),COUNTIF($C$32:$C62,AN63)&lt;$B$6,IF($BI63,COUNTIF($C$32:$C62,AN63)&lt;IF($B$3="Stage 1",MIN($B$6,MAX(1,INT($B$5/$B$11))),IF(AND($B$3="Stage 3",$B$5=20,$B$11&gt;11),1,IF(AND($B$3="Stage 3",OR($B$15="Year 10-11-12 Girls"),$B$5&gt;20),MAX(2,Setup!$B$14),Setup!$B$14))),IF(AND($B$3&lt;&gt;"Stage 2",$B$3&lt;&gt;"Stage 3"),TRUE,IF($U63,TRUE,COUNTIF($C$32:$C62,AN63)&lt;IF(AND($B$3="Stage 2",$B$5=20,AN63=$E$5,$A63&lt;=IF($B$8="One Keeper",$B$5,$B$8)),2,IF(AND(OR($B$3="Stage 2",AND($B$3="Stage 3",OR($B$15="Year 10-11-12 Girls"))),AN63=$E$5,$A63&lt;=IF($B$8="One Keeper",$B$5,$B$8)),3,$B$9)))))))</f>
        <v>0</v>
      </c>
      <c r="BB63" s="20" t="b">
        <f>IF(AO63="",FALSE,AND(AO63&lt;&gt;$B63,AO63&lt;&gt;$C62,IFERROR(INDEX($E$18:$E$30,MATCH(AO63,$B$18:$B$30,0)),"No")="Yes",IF(AND(OR($B$3="Stage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Girls"))),$B$5&gt;20),MIN(3,MAX(2,Setup!$B$14)),2))*2),AO63=$E$5,IF(AND(OR($B$3="Stage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Girls"))),$B$5&gt;20),MIN(3,MAX(2,Setup!$B$14)),2))*2-1))),AO63=$E$4,TRUE)),COUNTIF($C$32:$C62,AO63)&lt;$B$6,IF($BI63,COUNTIF($C$32:$C62,AO63)&lt;IF($B$3="Stage 1",MIN($B$6,MAX(1,INT($B$5/$B$11))),IF(AND($B$3="Stage 3",$B$5=20,$B$11&gt;11),1,IF(AND($B$3="Stage 3",OR($B$15="Year 10-11-12 Girls"),$B$5&gt;20),MAX(2,Setup!$B$14),Setup!$B$14))),IF(AND($B$3&lt;&gt;"Stage 2",$B$3&lt;&gt;"Stage 3"),TRUE,IF($U63,TRUE,COUNTIF($C$32:$C62,AO63)&lt;IF(AND($B$3="Stage 2",$B$5=20,AO63=$E$5,$A63&lt;=IF($B$8="One Keeper",$B$5,$B$8)),2,IF(AND(OR($B$3="Stage 2",AND($B$3="Stage 3",OR($B$15="Year 10-11-12 Girls"))),AO63=$E$5,$A63&lt;=IF($B$8="One Keeper",$B$5,$B$8)),3,$B$9)))))))</f>
        <v>0</v>
      </c>
      <c r="BC63" s="20" t="b">
        <f>IF(AP63="",FALSE,AND(AP63&lt;&gt;$B63,AP63&lt;&gt;$C62,IFERROR(INDEX($E$18:$E$30,MATCH(AP63,$B$18:$B$30,0)),"No")="Yes",IF(AND(OR($B$3="Stage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Girls"))),$B$5&gt;20),MIN(3,MAX(2,Setup!$B$14)),2))*2),AP63=$E$5,IF(AND(OR($B$3="Stage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Girls"))),$B$5&gt;20),MIN(3,MAX(2,Setup!$B$14)),2))*2-1))),AP63=$E$4,TRUE)),COUNTIF($C$32:$C62,AP63)&lt;$B$6,IF($BI63,COUNTIF($C$32:$C62,AP63)&lt;IF($B$3="Stage 1",MIN($B$6,MAX(1,INT($B$5/$B$11))),IF(AND($B$3="Stage 3",$B$5=20,$B$11&gt;11),1,IF(AND($B$3="Stage 3",OR($B$15="Year 10-11-12 Girls"),$B$5&gt;20),MAX(2,Setup!$B$14),Setup!$B$14))),IF(AND($B$3&lt;&gt;"Stage 2",$B$3&lt;&gt;"Stage 3"),TRUE,IF($U63,TRUE,COUNTIF($C$32:$C62,AP63)&lt;IF(AND($B$3="Stage 2",$B$5=20,AP63=$E$5,$A63&lt;=IF($B$8="One Keeper",$B$5,$B$8)),2,IF(AND(OR($B$3="Stage 2",AND($B$3="Stage 3",OR($B$15="Year 10-11-12 Girls"))),AP63=$E$5,$A63&lt;=IF($B$8="One Keeper",$B$5,$B$8)),3,$B$9)))))))</f>
        <v>0</v>
      </c>
      <c r="BD63" s="20" t="b">
        <f>IF(AQ63="",FALSE,AND(AQ63&lt;&gt;$B63,AQ63&lt;&gt;$C62,IFERROR(INDEX($E$18:$E$30,MATCH(AQ63,$B$18:$B$30,0)),"No")="Yes",IF(AND(OR($B$3="Stage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Girls"))),$B$5&gt;20),MIN(3,MAX(2,Setup!$B$14)),2))*2),AQ63=$E$5,IF(AND(OR($B$3="Stage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Girls"))),$B$5&gt;20),MIN(3,MAX(2,Setup!$B$14)),2))*2-1))),AQ63=$E$4,TRUE)),COUNTIF($C$32:$C62,AQ63)&lt;$B$6,IF($BI63,COUNTIF($C$32:$C62,AQ63)&lt;IF($B$3="Stage 1",MIN($B$6,MAX(1,INT($B$5/$B$11))),IF(AND($B$3="Stage 3",$B$5=20,$B$11&gt;11),1,IF(AND($B$3="Stage 3",OR($B$15="Year 10-11-12 Girls"),$B$5&gt;20),MAX(2,Setup!$B$14),Setup!$B$14))),IF(AND($B$3&lt;&gt;"Stage 2",$B$3&lt;&gt;"Stage 3"),TRUE,IF($U63,TRUE,COUNTIF($C$32:$C62,AQ63)&lt;IF(AND($B$3="Stage 2",$B$5=20,AQ63=$E$5,$A63&lt;=IF($B$8="One Keeper",$B$5,$B$8)),2,IF(AND(OR($B$3="Stage 2",AND($B$3="Stage 3",OR($B$15="Year 10-11-12 Girls"))),AQ63=$E$5,$A63&lt;=IF($B$8="One Keeper",$B$5,$B$8)),3,$B$9)))))))</f>
        <v>0</v>
      </c>
      <c r="BE63" s="20" t="b">
        <f>IF(AR63="",FALSE,AND(AR63&lt;&gt;$B63,AR63&lt;&gt;$C62,IFERROR(INDEX($E$18:$E$30,MATCH(AR63,$B$18:$B$30,0)),"No")="Yes",IF(AND(OR($B$3="Stage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Girls"))),$B$5&gt;20),MIN(3,MAX(2,Setup!$B$14)),2))*2),AR63=$E$5,IF(AND(OR($B$3="Stage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Girls"))),$B$5&gt;20),MIN(3,MAX(2,Setup!$B$14)),2))*2-1))),AR63=$E$4,TRUE)),COUNTIF($C$32:$C62,AR63)&lt;$B$6,IF($BI63,COUNTIF($C$32:$C62,AR63)&lt;IF($B$3="Stage 1",MIN($B$6,MAX(1,INT($B$5/$B$11))),IF(AND($B$3="Stage 3",$B$5=20,$B$11&gt;11),1,IF(AND($B$3="Stage 3",OR($B$15="Year 10-11-12 Girls"),$B$5&gt;20),MAX(2,Setup!$B$14),Setup!$B$14))),IF(AND($B$3&lt;&gt;"Stage 2",$B$3&lt;&gt;"Stage 3"),TRUE,IF($U63,TRUE,COUNTIF($C$32:$C62,AR63)&lt;IF(AND($B$3="Stage 2",$B$5=20,AR63=$E$5,$A63&lt;=IF($B$8="One Keeper",$B$5,$B$8)),2,IF(AND(OR($B$3="Stage 2",AND($B$3="Stage 3",OR($B$15="Year 10-11-12 Girls"))),AR63=$E$5,$A63&lt;=IF($B$8="One Keeper",$B$5,$B$8)),3,$B$9)))))))</f>
        <v>0</v>
      </c>
      <c r="BF63" s="20" t="b">
        <f>IF(AS63="",FALSE,AND(AS63&lt;&gt;$B63,AS63&lt;&gt;$C62,IFERROR(INDEX($E$18:$E$30,MATCH(AS63,$B$18:$B$30,0)),"No")="Yes",IF(AND(OR($B$3="Stage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Girls"))),$B$5&gt;20),MIN(3,MAX(2,Setup!$B$14)),2))*2),AS63=$E$5,IF(AND(OR($B$3="Stage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Girls"))),$B$5&gt;20),MIN(3,MAX(2,Setup!$B$14)),2))*2-1))),AS63=$E$4,TRUE)),COUNTIF($C$32:$C62,AS63)&lt;$B$6,IF($BI63,COUNTIF($C$32:$C62,AS63)&lt;IF($B$3="Stage 1",MIN($B$6,MAX(1,INT($B$5/$B$11))),IF(AND($B$3="Stage 3",$B$5=20,$B$11&gt;11),1,IF(AND($B$3="Stage 3",OR($B$15="Year 10-11-12 Girls"),$B$5&gt;20),MAX(2,Setup!$B$14),Setup!$B$14))),IF(AND($B$3&lt;&gt;"Stage 2",$B$3&lt;&gt;"Stage 3"),TRUE,IF($U63,TRUE,COUNTIF($C$32:$C62,AS63)&lt;IF(AND($B$3="Stage 2",$B$5=20,AS63=$E$5,$A63&lt;=IF($B$8="One Keeper",$B$5,$B$8)),2,IF(AND(OR($B$3="Stage 2",AND($B$3="Stage 3",OR($B$15="Year 10-11-12 Girls"))),AS63=$E$5,$A63&lt;=IF($B$8="One Keeper",$B$5,$B$8)),3,$B$9)))))))</f>
        <v>0</v>
      </c>
      <c r="BG63" s="20" t="b">
        <f>IF(AT63="",FALSE,AND(AT63&lt;&gt;$B63,AT63&lt;&gt;$C62,IFERROR(INDEX($E$18:$E$30,MATCH(AT63,$B$18:$B$30,0)),"No")="Yes",IF(AND(OR($B$3="Stage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Girls"))),$B$5&gt;20),MIN(3,MAX(2,Setup!$B$14)),2))*2),AT63=$E$5,IF(AND(OR($B$3="Stage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Girls"))),$B$5&gt;20),MIN(3,MAX(2,Setup!$B$14)),2))*2-1))),AT63=$E$4,TRUE)),COUNTIF($C$32:$C62,AT63)&lt;$B$6,IF($BI63,COUNTIF($C$32:$C62,AT63)&lt;IF($B$3="Stage 1",MIN($B$6,MAX(1,INT($B$5/$B$11))),IF(AND($B$3="Stage 3",$B$5=20,$B$11&gt;11),1,IF(AND($B$3="Stage 3",OR($B$15="Year 10-11-12 Girls"),$B$5&gt;20),MAX(2,Setup!$B$14),Setup!$B$14))),IF(AND($B$3&lt;&gt;"Stage 2",$B$3&lt;&gt;"Stage 3"),TRUE,IF($U63,TRUE,COUNTIF($C$32:$C62,AT63)&lt;IF(AND($B$3="Stage 2",$B$5=20,AT63=$E$5,$A63&lt;=IF($B$8="One Keeper",$B$5,$B$8)),2,IF(AND(OR($B$3="Stage 2",AND($B$3="Stage 3",OR($B$15="Year 10-11-12 Girls"))),AT63=$E$5,$A63&lt;=IF($B$8="One Keeper",$B$5,$B$8)),3,$B$9)))))))</f>
        <v>0</v>
      </c>
      <c r="BH63" s="20" t="b">
        <f>IF(AU63="",FALSE,AND(AU63&lt;&gt;$B63,AU63&lt;&gt;$C62,IFERROR(INDEX($E$18:$E$30,MATCH(AU63,$B$18:$B$30,0)),"No")="Yes",IF(AND(OR($B$3="Stage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Girls"))),$B$5&gt;20),MIN(3,MAX(2,Setup!$B$14)),2))*2),AU63=$E$5,IF(AND(OR($B$3="Stage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Girls"))),$B$5&gt;20),MIN(3,MAX(2,Setup!$B$14)),2))*2-1))),AU63=$E$4,TRUE)),COUNTIF($C$32:$C62,AU63)&lt;$B$6,IF($BI63,COUNTIF($C$32:$C62,AU63)&lt;IF($B$3="Stage 1",MIN($B$6,MAX(1,INT($B$5/$B$11))),IF(AND($B$3="Stage 3",$B$5=20,$B$11&gt;11),1,IF(AND($B$3="Stage 3",OR($B$15="Year 10-11-12 Girls"),$B$5&gt;20),MAX(2,Setup!$B$14),Setup!$B$14))),IF(AND($B$3&lt;&gt;"Stage 2",$B$3&lt;&gt;"Stage 3"),TRUE,IF($U63,TRUE,COUNTIF($C$32:$C62,AU63)&lt;IF(AND($B$3="Stage 2",$B$5=20,AU63=$E$5,$A63&lt;=IF($B$8="One Keeper",$B$5,$B$8)),2,IF(AND(OR($B$3="Stage 2",AND($B$3="Stage 3",OR($B$15="Year 10-11-12 Girls"))),AU63=$E$5,$A63&lt;=IF($B$8="One Keeper",$B$5,$B$8)),3,$B$9)))))))</f>
        <v>0</v>
      </c>
      <c r="BI63"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Keeper",$E$4&lt;&gt;$E$5,$A63&lt;=IF($B$8="One Keeper",$B$5,$B$8),COUNTIF($C$32:$C62,$E$5)&lt;IF(AND($B$3="Stage 3",$B$5=20,$B$11&gt;11),1,IF(AND(OR($B$3="Stage 2",AND($B$3="Stage 3",OR($B$15="Year 10-11-12 Girls"))),$B$5&gt;20),MIN(3,MAX(2,Setup!$B$14)),2)),IFERROR(INDEX($E$18:$E$30,MATCH($E$5,$B$18:$B$30,0)),"No")="Yes",$C62&lt;&gt;$E$5,MOD($A63,2)=0,$A63&lt;=IF(AND($B$3="Stage 3",$B$5=20,$B$11&gt;11),1,IF(AND(OR($B$3="Stage 2",AND($B$3="Stage 3",OR($B$15="Year 10-11-12 Girls"))),$B$5&gt;20),MIN(3,MAX(2,Setup!$B$14)),2))*2),AND(OR($B$3="Stage 1",$B$3="Stage 2",AND($B$3="Stage 3",OR(OR($B$15="Year 10-11-12 Girls"),OR($B$15="Year 8 Boys",$B$15="Year 9 Boys",$B$15="Year 10-11 Boys")))),$B$8&lt;&gt;"One Keeper",$E$4&lt;&gt;$E$5,$A63&gt;IF($B$8="One Keeper",$B$5,$B$8),COUNTIF($C$32:$C62,$E$4)&lt;IF(AND($B$3="Stage 3",$B$5=20,$B$11&gt;11),1,IF(AND(OR($B$3="Stage 2",AND($B$3="Stage 3",OR($B$15="Year 10-11-12 Girls"))),$B$5&gt;20),MIN(3,MAX(2,Setup!$B$14)),2)),IFERROR(INDEX($E$18:$E$30,MATCH($E$4,$B$18:$B$30,0)),"No")="Yes",$C62&lt;&gt;$E$4,IF($B$7="Three-over spell",AND(MOD($A63-IF($B$8="One Keeper",$B$5,$B$8)-1,3)=0,($A63-IF($B$8="One Keeper",$B$5,$B$8))&lt;=1+(IF(AND($B$3="Stage 3",$B$5=20,$B$11&gt;11),1,IF(AND(OR($B$3="Stage 2",AND($B$3="Stage 3",OR($B$15="Year 10-11-12 Girls"))),$B$5&gt;20),MIN(3,MAX(2,Setup!$B$14)),2))-1)*3),AND(MOD($A63-IF($B$8="One Keeper",$B$5,$B$8),2)=1,($A63-IF($B$8="One Keeper",$B$5,$B$8))&lt;=IF(AND($B$3="Stage 3",$B$5=20,$B$11&gt;11),1,IF(AND(OR($B$3="Stage 2",AND($B$3="Stage 3",OR($B$15="Year 10-11-12 Girls"))),$B$5&gt;20),MIN(3,MAX(2,Setup!$B$14)),2))*2-1))))),OR($U63,AND($B$3="Stage 3",$B$5=20,$B$11&gt;11)),OR($BJ63,$BK63,$BL63,$BM63,$BN63,$BO63,$BP63,$BQ63,$BR63,$BS63,$BT63,$BU63,$BV63))</f>
        <v>0</v>
      </c>
      <c r="BJ63" s="20" t="b">
        <f>IF(AI63="",FALSE,AND(AI63&lt;&gt;IF(AND($B$3="Stage 3",OR($B$15="Year 8 Boys",$B$15="Year 9 Boys",$B$15="Year 10-11 Boys"),$B$8="One Keeper"),$E$4,""),AI63&lt;&gt;$B63,AI63&lt;&gt;$C62,IFERROR(INDEX($E$18:$E$30,MATCH(AI63,$B$18:$B$30,0)),"No")="Yes",COUNTIF($C$32:$C62,AI63)&lt;$B$6,COUNTIF($C$32:$C62,AI63)&lt;IF($B$3="Stage 1",MIN($B$6,MAX(1,INT($B$5/$B$11))),IF(AND($B$3="Stage 3",$B$5=20,$B$11&gt;11),1,IF(AND($B$3="Stage 3",OR($B$15="Year 10-11-12 Girls"),$B$5&gt;20),MAX(2,Setup!$B$14),Setup!$B$14)))))</f>
        <v>0</v>
      </c>
      <c r="BK63" s="20" t="b">
        <f>IF(AJ63="",FALSE,AND(AJ63&lt;&gt;IF(AND($B$3="Stage 3",OR($B$15="Year 8 Boys",$B$15="Year 9 Boys",$B$15="Year 10-11 Boys"),$B$8="One Keeper"),$E$4,""),AJ63&lt;&gt;$B63,AJ63&lt;&gt;$C62,IFERROR(INDEX($E$18:$E$30,MATCH(AJ63,$B$18:$B$30,0)),"No")="Yes",COUNTIF($C$32:$C62,AJ63)&lt;$B$6,COUNTIF($C$32:$C62,AJ63)&lt;IF($B$3="Stage 1",MIN($B$6,MAX(1,INT($B$5/$B$11))),IF(AND($B$3="Stage 3",$B$5=20,$B$11&gt;11),1,IF(AND($B$3="Stage 3",OR($B$15="Year 10-11-12 Girls"),$B$5&gt;20),MAX(2,Setup!$B$14),Setup!$B$14)))))</f>
        <v>0</v>
      </c>
      <c r="BL63" s="20" t="b">
        <f>IF(AK63="",FALSE,AND(AK63&lt;&gt;IF(AND($B$3="Stage 3",OR($B$15="Year 8 Boys",$B$15="Year 9 Boys",$B$15="Year 10-11 Boys"),$B$8="One Keeper"),$E$4,""),AK63&lt;&gt;$B63,AK63&lt;&gt;$C62,IFERROR(INDEX($E$18:$E$30,MATCH(AK63,$B$18:$B$30,0)),"No")="Yes",COUNTIF($C$32:$C62,AK63)&lt;$B$6,COUNTIF($C$32:$C62,AK63)&lt;IF($B$3="Stage 1",MIN($B$6,MAX(1,INT($B$5/$B$11))),IF(AND($B$3="Stage 3",$B$5=20,$B$11&gt;11),1,IF(AND($B$3="Stage 3",OR($B$15="Year 10-11-12 Girls"),$B$5&gt;20),MAX(2,Setup!$B$14),Setup!$B$14)))))</f>
        <v>0</v>
      </c>
      <c r="BM63" s="20" t="b">
        <f>IF(AL63="",FALSE,AND(AL63&lt;&gt;IF(AND($B$3="Stage 3",OR($B$15="Year 8 Boys",$B$15="Year 9 Boys",$B$15="Year 10-11 Boys"),$B$8="One Keeper"),$E$4,""),AL63&lt;&gt;$B63,AL63&lt;&gt;$C62,IFERROR(INDEX($E$18:$E$30,MATCH(AL63,$B$18:$B$30,0)),"No")="Yes",COUNTIF($C$32:$C62,AL63)&lt;$B$6,COUNTIF($C$32:$C62,AL63)&lt;IF($B$3="Stage 1",MIN($B$6,MAX(1,INT($B$5/$B$11))),IF(AND($B$3="Stage 3",$B$5=20,$B$11&gt;11),1,IF(AND($B$3="Stage 3",OR($B$15="Year 10-11-12 Girls"),$B$5&gt;20),MAX(2,Setup!$B$14),Setup!$B$14)))))</f>
        <v>0</v>
      </c>
      <c r="BN63" s="20" t="b">
        <f>IF(AM63="",FALSE,AND(AM63&lt;&gt;IF(AND($B$3="Stage 3",OR($B$15="Year 8 Boys",$B$15="Year 9 Boys",$B$15="Year 10-11 Boys"),$B$8="One Keeper"),$E$4,""),AM63&lt;&gt;$B63,AM63&lt;&gt;$C62,IFERROR(INDEX($E$18:$E$30,MATCH(AM63,$B$18:$B$30,0)),"No")="Yes",COUNTIF($C$32:$C62,AM63)&lt;$B$6,COUNTIF($C$32:$C62,AM63)&lt;IF($B$3="Stage 1",MIN($B$6,MAX(1,INT($B$5/$B$11))),IF(AND($B$3="Stage 3",$B$5=20,$B$11&gt;11),1,IF(AND($B$3="Stage 3",OR($B$15="Year 10-11-12 Girls"),$B$5&gt;20),MAX(2,Setup!$B$14),Setup!$B$14)))))</f>
        <v>0</v>
      </c>
      <c r="BO63" s="20" t="b">
        <f>IF(AN63="",FALSE,AND(AN63&lt;&gt;IF(AND($B$3="Stage 3",OR($B$15="Year 8 Boys",$B$15="Year 9 Boys",$B$15="Year 10-11 Boys"),$B$8="One Keeper"),$E$4,""),AN63&lt;&gt;$B63,AN63&lt;&gt;$C62,IFERROR(INDEX($E$18:$E$30,MATCH(AN63,$B$18:$B$30,0)),"No")="Yes",COUNTIF($C$32:$C62,AN63)&lt;$B$6,COUNTIF($C$32:$C62,AN63)&lt;IF($B$3="Stage 1",MIN($B$6,MAX(1,INT($B$5/$B$11))),IF(AND($B$3="Stage 3",$B$5=20,$B$11&gt;11),1,IF(AND($B$3="Stage 3",OR($B$15="Year 10-11-12 Girls"),$B$5&gt;20),MAX(2,Setup!$B$14),Setup!$B$14)))))</f>
        <v>0</v>
      </c>
      <c r="BP63" s="20" t="b">
        <f>IF(AO63="",FALSE,AND(AO63&lt;&gt;IF(AND($B$3="Stage 3",OR($B$15="Year 8 Boys",$B$15="Year 9 Boys",$B$15="Year 10-11 Boys"),$B$8="One Keeper"),$E$4,""),AO63&lt;&gt;$B63,AO63&lt;&gt;$C62,IFERROR(INDEX($E$18:$E$30,MATCH(AO63,$B$18:$B$30,0)),"No")="Yes",COUNTIF($C$32:$C62,AO63)&lt;$B$6,COUNTIF($C$32:$C62,AO63)&lt;IF($B$3="Stage 1",MIN($B$6,MAX(1,INT($B$5/$B$11))),IF(AND($B$3="Stage 3",$B$5=20,$B$11&gt;11),1,IF(AND($B$3="Stage 3",OR($B$15="Year 10-11-12 Girls"),$B$5&gt;20),MAX(2,Setup!$B$14),Setup!$B$14)))))</f>
        <v>0</v>
      </c>
      <c r="BQ63" s="20" t="b">
        <f>IF(AP63="",FALSE,AND(AP63&lt;&gt;IF(AND($B$3="Stage 3",OR($B$15="Year 8 Boys",$B$15="Year 9 Boys",$B$15="Year 10-11 Boys"),$B$8="One Keeper"),$E$4,""),AP63&lt;&gt;$B63,AP63&lt;&gt;$C62,IFERROR(INDEX($E$18:$E$30,MATCH(AP63,$B$18:$B$30,0)),"No")="Yes",COUNTIF($C$32:$C62,AP63)&lt;$B$6,COUNTIF($C$32:$C62,AP63)&lt;IF($B$3="Stage 1",MIN($B$6,MAX(1,INT($B$5/$B$11))),IF(AND($B$3="Stage 3",$B$5=20,$B$11&gt;11),1,IF(AND($B$3="Stage 3",OR($B$15="Year 10-11-12 Girls"),$B$5&gt;20),MAX(2,Setup!$B$14),Setup!$B$14)))))</f>
        <v>0</v>
      </c>
      <c r="BR63" s="20" t="b">
        <f>IF(AQ63="",FALSE,AND(AQ63&lt;&gt;IF(AND($B$3="Stage 3",OR($B$15="Year 8 Boys",$B$15="Year 9 Boys",$B$15="Year 10-11 Boys"),$B$8="One Keeper"),$E$4,""),AQ63&lt;&gt;$B63,AQ63&lt;&gt;$C62,IFERROR(INDEX($E$18:$E$30,MATCH(AQ63,$B$18:$B$30,0)),"No")="Yes",COUNTIF($C$32:$C62,AQ63)&lt;$B$6,COUNTIF($C$32:$C62,AQ63)&lt;IF($B$3="Stage 1",MIN($B$6,MAX(1,INT($B$5/$B$11))),IF(AND($B$3="Stage 3",$B$5=20,$B$11&gt;11),1,IF(AND($B$3="Stage 3",OR($B$15="Year 10-11-12 Girls"),$B$5&gt;20),MAX(2,Setup!$B$14),Setup!$B$14)))))</f>
        <v>0</v>
      </c>
      <c r="BS63" s="20" t="b">
        <f>IF(AR63="",FALSE,AND(AR63&lt;&gt;IF(AND($B$3="Stage 3",OR($B$15="Year 8 Boys",$B$15="Year 9 Boys",$B$15="Year 10-11 Boys"),$B$8="One Keeper"),$E$4,""),AR63&lt;&gt;$B63,AR63&lt;&gt;$C62,IFERROR(INDEX($E$18:$E$30,MATCH(AR63,$B$18:$B$30,0)),"No")="Yes",COUNTIF($C$32:$C62,AR63)&lt;$B$6,COUNTIF($C$32:$C62,AR63)&lt;IF($B$3="Stage 1",MIN($B$6,MAX(1,INT($B$5/$B$11))),IF(AND($B$3="Stage 3",$B$5=20,$B$11&gt;11),1,IF(AND($B$3="Stage 3",OR($B$15="Year 10-11-12 Girls"),$B$5&gt;20),MAX(2,Setup!$B$14),Setup!$B$14)))))</f>
        <v>0</v>
      </c>
      <c r="BT63" s="20" t="b">
        <f>IF(AS63="",FALSE,AND(AS63&lt;&gt;IF(AND($B$3="Stage 3",OR($B$15="Year 8 Boys",$B$15="Year 9 Boys",$B$15="Year 10-11 Boys"),$B$8="One Keeper"),$E$4,""),AS63&lt;&gt;$B63,AS63&lt;&gt;$C62,IFERROR(INDEX($E$18:$E$30,MATCH(AS63,$B$18:$B$30,0)),"No")="Yes",COUNTIF($C$32:$C62,AS63)&lt;$B$6,COUNTIF($C$32:$C62,AS63)&lt;IF($B$3="Stage 1",MIN($B$6,MAX(1,INT($B$5/$B$11))),IF(AND($B$3="Stage 3",$B$5=20,$B$11&gt;11),1,IF(AND($B$3="Stage 3",OR($B$15="Year 10-11-12 Girls"),$B$5&gt;20),MAX(2,Setup!$B$14),Setup!$B$14)))))</f>
        <v>0</v>
      </c>
      <c r="BU63" s="20" t="b">
        <f>IF(AT63="",FALSE,AND(AT63&lt;&gt;IF(AND($B$3="Stage 3",OR($B$15="Year 8 Boys",$B$15="Year 9 Boys",$B$15="Year 10-11 Boys"),$B$8="One Keeper"),$E$4,""),AT63&lt;&gt;$B63,AT63&lt;&gt;$C62,IFERROR(INDEX($E$18:$E$30,MATCH(AT63,$B$18:$B$30,0)),"No")="Yes",COUNTIF($C$32:$C62,AT63)&lt;$B$6,COUNTIF($C$32:$C62,AT63)&lt;IF($B$3="Stage 1",MIN($B$6,MAX(1,INT($B$5/$B$11))),IF(AND($B$3="Stage 3",$B$5=20,$B$11&gt;11),1,IF(AND($B$3="Stage 3",OR($B$15="Year 10-11-12 Girls"),$B$5&gt;20),MAX(2,Setup!$B$14),Setup!$B$14)))))</f>
        <v>0</v>
      </c>
      <c r="BV63" s="20" t="b">
        <f>IF(AU63="",FALSE,AND(AU63&lt;&gt;IF(AND($B$3="Stage 3",OR($B$15="Year 8 Boys",$B$15="Year 9 Boys",$B$15="Year 10-11 Boys"),$B$8="One Keeper"),$E$4,""),AU63&lt;&gt;$B63,AU63&lt;&gt;$C62,IFERROR(INDEX($E$18:$E$30,MATCH(AU63,$B$18:$B$30,0)),"No")="Yes",COUNTIF($C$32:$C62,AU63)&lt;$B$6,COUNTIF($C$32:$C62,AU63)&lt;IF($B$3="Stage 1",MIN($B$6,MAX(1,INT($B$5/$B$11))),IF(AND($B$3="Stage 3",$B$5=20,$B$11&gt;11),1,IF(AND($B$3="Stage 3",OR($B$15="Year 10-11-12 Girls"),$B$5&gt;20),MAX(2,Setup!$B$14),Setup!$B$14)))))</f>
        <v>0</v>
      </c>
      <c r="BW63" s="20"/>
      <c r="BX63" s="20"/>
      <c r="BY63" s="20"/>
      <c r="BZ63" s="20"/>
      <c r="CA63" s="20"/>
      <c r="CB63" s="20"/>
      <c r="CC63" s="20"/>
      <c r="CD63" s="20"/>
      <c r="CE63" s="20"/>
      <c r="CF63" s="20"/>
      <c r="CG63" s="20"/>
      <c r="CH63" s="20"/>
      <c r="CI63" s="20"/>
      <c r="CJ63" s="20"/>
      <c r="CK63" s="20"/>
    </row>
    <row r="64" spans="1:89" ht="15" customHeight="1">
      <c r="A64" s="18">
        <v>33</v>
      </c>
      <c r="B64" s="18" t="str">
        <f t="shared" si="5"/>
        <v/>
      </c>
      <c r="C64" s="18" t="str">
        <f t="shared" si="6"/>
        <v/>
      </c>
      <c r="D64" s="18">
        <f t="shared" si="7"/>
        <v>8</v>
      </c>
      <c r="E64" s="18" t="str">
        <f>IF($C64="","",COUNTIF($C$32:C64,$C64))</f>
        <v/>
      </c>
      <c r="F64" s="18" t="str">
        <f t="shared" si="8"/>
        <v/>
      </c>
      <c r="T64" s="20" t="str">
        <f t="shared" si="15"/>
        <v/>
      </c>
      <c r="U64" s="20" t="b">
        <f>IF(OR($B$3="Stage 2",AND($B$3="Stage 3",OR($B$15="Year 10-11-12 Girls"))),(IF(AND($P$18&lt;&gt;"",$P$18&lt;&gt;$E$4,COUNTIF($C$32:$C63,$P$18)&gt;=2),1,0)+IF(AND($P$19&lt;&gt;"",$P$19&lt;&gt;$E$4,COUNTIF($C$32:$C63,$P$19)&gt;=2),1,0)+IF(AND($P$20&lt;&gt;"",$P$20&lt;&gt;$E$4,COUNTIF($C$32:$C63,$P$20)&gt;=2),1,0)+IF(AND($P$21&lt;&gt;"",$P$21&lt;&gt;$E$4,COUNTIF($C$32:$C63,$P$21)&gt;=2),1,0)+IF(AND($P$22&lt;&gt;"",$P$22&lt;&gt;$E$4,COUNTIF($C$32:$C63,$P$22)&gt;=2),1,0)+IF(AND($P$23&lt;&gt;"",$P$23&lt;&gt;$E$4,COUNTIF($C$32:$C63,$P$23)&gt;=2),1,0)+IF(AND($P$24&lt;&gt;"",$P$24&lt;&gt;$E$4,COUNTIF($C$32:$C63,$P$24)&gt;=2),1,0)+IF(AND($P$25&lt;&gt;"",$P$25&lt;&gt;$E$4,COUNTIF($C$32:$C63,$P$25)&gt;=2),1,0)+IF(AND($P$26&lt;&gt;"",$P$26&lt;&gt;$E$4,COUNTIF($C$32:$C63,$P$26)&gt;=2),1,0)+IF(AND($P$27&lt;&gt;"",$P$27&lt;&gt;$E$4,COUNTIF($C$32:$C63,$P$27)&gt;=2),1,0)+IF(AND($P$28&lt;&gt;"",$P$28&lt;&gt;$E$4,COUNTIF($C$32:$C63,$P$28)&gt;=2),1,0)+IF(AND($P$29&lt;&gt;"",$P$29&lt;&gt;$E$4,COUNTIF($C$32:$C63,$P$29)&gt;=2),1,0)+IF(AND($P$30&lt;&gt;"",$P$30&lt;&gt;$E$4,COUNTIF($C$32:$C63,$P$30)&gt;=2),1,0))&gt;=MAX(0,$B$11-1),IF(AND($B$3="Stage 3",OR($B$15="Year 8 Boys",$B$15="Year 9 Boys",$B$15="Year 10-11 Boys")),(IF(AND($P$18&lt;&gt;"",COUNTIF($C$32:$C63,$P$18)&gt;=2),1,0)+IF(AND($P$19&lt;&gt;"",COUNTIF($C$32:$C63,$P$19)&gt;=2),1,0)+IF(AND($P$20&lt;&gt;"",COUNTIF($C$32:$C63,$P$20)&gt;=2),1,0)+IF(AND($P$21&lt;&gt;"",COUNTIF($C$32:$C63,$P$21)&gt;=2),1,0)+IF(AND($P$22&lt;&gt;"",COUNTIF($C$32:$C63,$P$22)&gt;=2),1,0)+IF(AND($P$23&lt;&gt;"",COUNTIF($C$32:$C63,$P$23)&gt;=2),1,0)+IF(AND($P$24&lt;&gt;"",COUNTIF($C$32:$C63,$P$24)&gt;=2),1,0)+IF(AND($P$25&lt;&gt;"",COUNTIF($C$32:$C63,$P$25)&gt;=2),1,0)+IF(AND($P$26&lt;&gt;"",COUNTIF($C$32:$C63,$P$26)&gt;=2),1,0)+IF(AND($P$27&lt;&gt;"",COUNTIF($C$32:$C63,$P$27)&gt;=2),1,0)+IF(AND($P$28&lt;&gt;"",COUNTIF($C$32:$C63,$P$28)&gt;=2),1,0)+IF(AND($P$29&lt;&gt;"",COUNTIF($C$32:$C63,$P$29)&gt;=2),1,0)+IF(AND($P$30&lt;&gt;"",COUNTIF($C$32:$C63,$P$30)&gt;=2),1,0))&gt;=7,TRUE))</f>
        <v>1</v>
      </c>
      <c r="V64" s="20" t="str">
        <f t="shared" si="32"/>
        <v/>
      </c>
      <c r="W64" s="20" t="str">
        <f t="shared" si="32"/>
        <v/>
      </c>
      <c r="X64" s="20" t="str">
        <f t="shared" si="32"/>
        <v/>
      </c>
      <c r="Y64" s="20" t="str">
        <f t="shared" si="32"/>
        <v/>
      </c>
      <c r="Z64" s="20" t="str">
        <f t="shared" si="32"/>
        <v/>
      </c>
      <c r="AA64" s="20" t="str">
        <f t="shared" si="32"/>
        <v/>
      </c>
      <c r="AB64" s="20" t="str">
        <f t="shared" si="32"/>
        <v/>
      </c>
      <c r="AC64" s="20" t="str">
        <f t="shared" si="32"/>
        <v/>
      </c>
      <c r="AD64" s="20" t="str">
        <f t="shared" si="32"/>
        <v/>
      </c>
      <c r="AE64" s="20" t="str">
        <f t="shared" si="32"/>
        <v/>
      </c>
      <c r="AF64" s="20" t="str">
        <f t="shared" si="32"/>
        <v/>
      </c>
      <c r="AG64" s="20" t="str">
        <f t="shared" si="32"/>
        <v/>
      </c>
      <c r="AH64" s="20" t="str">
        <f t="shared" si="32"/>
        <v/>
      </c>
      <c r="AI64" s="20" t="str">
        <f t="shared" si="17"/>
        <v/>
      </c>
      <c r="AJ64" s="20" t="str">
        <f t="shared" si="18"/>
        <v/>
      </c>
      <c r="AK64" s="20" t="str">
        <f t="shared" si="19"/>
        <v/>
      </c>
      <c r="AL64" s="20" t="str">
        <f t="shared" si="20"/>
        <v/>
      </c>
      <c r="AM64" s="20" t="str">
        <f t="shared" si="21"/>
        <v/>
      </c>
      <c r="AN64" s="20" t="str">
        <f t="shared" si="22"/>
        <v/>
      </c>
      <c r="AO64" s="20" t="str">
        <f t="shared" si="23"/>
        <v/>
      </c>
      <c r="AP64" s="20" t="str">
        <f t="shared" si="24"/>
        <v/>
      </c>
      <c r="AQ64" s="20" t="str">
        <f t="shared" si="25"/>
        <v/>
      </c>
      <c r="AR64" s="20" t="str">
        <f t="shared" si="26"/>
        <v/>
      </c>
      <c r="AS64" s="20" t="str">
        <f t="shared" si="27"/>
        <v/>
      </c>
      <c r="AT64" s="20" t="str">
        <f t="shared" si="28"/>
        <v/>
      </c>
      <c r="AU64" s="20" t="str">
        <f t="shared" si="29"/>
        <v/>
      </c>
      <c r="AV64" s="20" t="b">
        <f>IF(AI64="",FALSE,AND(AI64&lt;&gt;$B64,AI64&lt;&gt;$C63,IFERROR(INDEX($E$18:$E$30,MATCH(AI64,$B$18:$B$30,0)),"No")="Yes",IF(AND(OR($B$3="Stage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Girls"))),$B$5&gt;20),MIN(3,MAX(2,Setup!$B$14)),2))*2),AI64=$E$5,IF(AND(OR($B$3="Stage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Girls"))),$B$5&gt;20),MIN(3,MAX(2,Setup!$B$14)),2))*2-1))),AI64=$E$4,TRUE)),COUNTIF($C$32:$C63,AI64)&lt;$B$6,IF($BI64,COUNTIF($C$32:$C63,AI64)&lt;IF($B$3="Stage 1",MIN($B$6,MAX(1,INT($B$5/$B$11))),IF(AND($B$3="Stage 3",$B$5=20,$B$11&gt;11),1,IF(AND($B$3="Stage 3",OR($B$15="Year 10-11-12 Girls"),$B$5&gt;20),MAX(2,Setup!$B$14),Setup!$B$14))),IF(AND($B$3&lt;&gt;"Stage 2",$B$3&lt;&gt;"Stage 3"),TRUE,IF($U64,TRUE,COUNTIF($C$32:$C63,AI64)&lt;IF(AND($B$3="Stage 2",$B$5=20,AI64=$E$5,$A64&lt;=IF($B$8="One Keeper",$B$5,$B$8)),2,IF(AND(OR($B$3="Stage 2",AND($B$3="Stage 3",OR($B$15="Year 10-11-12 Girls"))),AI64=$E$5,$A64&lt;=IF($B$8="One Keeper",$B$5,$B$8)),3,$B$9)))))))</f>
        <v>0</v>
      </c>
      <c r="AW64" s="20" t="b">
        <f>IF(AJ64="",FALSE,AND(AJ64&lt;&gt;$B64,AJ64&lt;&gt;$C63,IFERROR(INDEX($E$18:$E$30,MATCH(AJ64,$B$18:$B$30,0)),"No")="Yes",IF(AND(OR($B$3="Stage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Girls"))),$B$5&gt;20),MIN(3,MAX(2,Setup!$B$14)),2))*2),AJ64=$E$5,IF(AND(OR($B$3="Stage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Girls"))),$B$5&gt;20),MIN(3,MAX(2,Setup!$B$14)),2))*2-1))),AJ64=$E$4,TRUE)),COUNTIF($C$32:$C63,AJ64)&lt;$B$6,IF($BI64,COUNTIF($C$32:$C63,AJ64)&lt;IF($B$3="Stage 1",MIN($B$6,MAX(1,INT($B$5/$B$11))),IF(AND($B$3="Stage 3",$B$5=20,$B$11&gt;11),1,IF(AND($B$3="Stage 3",OR($B$15="Year 10-11-12 Girls"),$B$5&gt;20),MAX(2,Setup!$B$14),Setup!$B$14))),IF(AND($B$3&lt;&gt;"Stage 2",$B$3&lt;&gt;"Stage 3"),TRUE,IF($U64,TRUE,COUNTIF($C$32:$C63,AJ64)&lt;IF(AND($B$3="Stage 2",$B$5=20,AJ64=$E$5,$A64&lt;=IF($B$8="One Keeper",$B$5,$B$8)),2,IF(AND(OR($B$3="Stage 2",AND($B$3="Stage 3",OR($B$15="Year 10-11-12 Girls"))),AJ64=$E$5,$A64&lt;=IF($B$8="One Keeper",$B$5,$B$8)),3,$B$9)))))))</f>
        <v>0</v>
      </c>
      <c r="AX64" s="20" t="b">
        <f>IF(AK64="",FALSE,AND(AK64&lt;&gt;$B64,AK64&lt;&gt;$C63,IFERROR(INDEX($E$18:$E$30,MATCH(AK64,$B$18:$B$30,0)),"No")="Yes",IF(AND(OR($B$3="Stage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Girls"))),$B$5&gt;20),MIN(3,MAX(2,Setup!$B$14)),2))*2),AK64=$E$5,IF(AND(OR($B$3="Stage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Girls"))),$B$5&gt;20),MIN(3,MAX(2,Setup!$B$14)),2))*2-1))),AK64=$E$4,TRUE)),COUNTIF($C$32:$C63,AK64)&lt;$B$6,IF($BI64,COUNTIF($C$32:$C63,AK64)&lt;IF($B$3="Stage 1",MIN($B$6,MAX(1,INT($B$5/$B$11))),IF(AND($B$3="Stage 3",$B$5=20,$B$11&gt;11),1,IF(AND($B$3="Stage 3",OR($B$15="Year 10-11-12 Girls"),$B$5&gt;20),MAX(2,Setup!$B$14),Setup!$B$14))),IF(AND($B$3&lt;&gt;"Stage 2",$B$3&lt;&gt;"Stage 3"),TRUE,IF($U64,TRUE,COUNTIF($C$32:$C63,AK64)&lt;IF(AND($B$3="Stage 2",$B$5=20,AK64=$E$5,$A64&lt;=IF($B$8="One Keeper",$B$5,$B$8)),2,IF(AND(OR($B$3="Stage 2",AND($B$3="Stage 3",OR($B$15="Year 10-11-12 Girls"))),AK64=$E$5,$A64&lt;=IF($B$8="One Keeper",$B$5,$B$8)),3,$B$9)))))))</f>
        <v>0</v>
      </c>
      <c r="AY64" s="20" t="b">
        <f>IF(AL64="",FALSE,AND(AL64&lt;&gt;$B64,AL64&lt;&gt;$C63,IFERROR(INDEX($E$18:$E$30,MATCH(AL64,$B$18:$B$30,0)),"No")="Yes",IF(AND(OR($B$3="Stage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Girls"))),$B$5&gt;20),MIN(3,MAX(2,Setup!$B$14)),2))*2),AL64=$E$5,IF(AND(OR($B$3="Stage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Girls"))),$B$5&gt;20),MIN(3,MAX(2,Setup!$B$14)),2))*2-1))),AL64=$E$4,TRUE)),COUNTIF($C$32:$C63,AL64)&lt;$B$6,IF($BI64,COUNTIF($C$32:$C63,AL64)&lt;IF($B$3="Stage 1",MIN($B$6,MAX(1,INT($B$5/$B$11))),IF(AND($B$3="Stage 3",$B$5=20,$B$11&gt;11),1,IF(AND($B$3="Stage 3",OR($B$15="Year 10-11-12 Girls"),$B$5&gt;20),MAX(2,Setup!$B$14),Setup!$B$14))),IF(AND($B$3&lt;&gt;"Stage 2",$B$3&lt;&gt;"Stage 3"),TRUE,IF($U64,TRUE,COUNTIF($C$32:$C63,AL64)&lt;IF(AND($B$3="Stage 2",$B$5=20,AL64=$E$5,$A64&lt;=IF($B$8="One Keeper",$B$5,$B$8)),2,IF(AND(OR($B$3="Stage 2",AND($B$3="Stage 3",OR($B$15="Year 10-11-12 Girls"))),AL64=$E$5,$A64&lt;=IF($B$8="One Keeper",$B$5,$B$8)),3,$B$9)))))))</f>
        <v>0</v>
      </c>
      <c r="AZ64" s="20" t="b">
        <f>IF(AM64="",FALSE,AND(AM64&lt;&gt;$B64,AM64&lt;&gt;$C63,IFERROR(INDEX($E$18:$E$30,MATCH(AM64,$B$18:$B$30,0)),"No")="Yes",IF(AND(OR($B$3="Stage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Girls"))),$B$5&gt;20),MIN(3,MAX(2,Setup!$B$14)),2))*2),AM64=$E$5,IF(AND(OR($B$3="Stage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Girls"))),$B$5&gt;20),MIN(3,MAX(2,Setup!$B$14)),2))*2-1))),AM64=$E$4,TRUE)),COUNTIF($C$32:$C63,AM64)&lt;$B$6,IF($BI64,COUNTIF($C$32:$C63,AM64)&lt;IF($B$3="Stage 1",MIN($B$6,MAX(1,INT($B$5/$B$11))),IF(AND($B$3="Stage 3",$B$5=20,$B$11&gt;11),1,IF(AND($B$3="Stage 3",OR($B$15="Year 10-11-12 Girls"),$B$5&gt;20),MAX(2,Setup!$B$14),Setup!$B$14))),IF(AND($B$3&lt;&gt;"Stage 2",$B$3&lt;&gt;"Stage 3"),TRUE,IF($U64,TRUE,COUNTIF($C$32:$C63,AM64)&lt;IF(AND($B$3="Stage 2",$B$5=20,AM64=$E$5,$A64&lt;=IF($B$8="One Keeper",$B$5,$B$8)),2,IF(AND(OR($B$3="Stage 2",AND($B$3="Stage 3",OR($B$15="Year 10-11-12 Girls"))),AM64=$E$5,$A64&lt;=IF($B$8="One Keeper",$B$5,$B$8)),3,$B$9)))))))</f>
        <v>0</v>
      </c>
      <c r="BA64" s="20" t="b">
        <f>IF(AN64="",FALSE,AND(AN64&lt;&gt;$B64,AN64&lt;&gt;$C63,IFERROR(INDEX($E$18:$E$30,MATCH(AN64,$B$18:$B$30,0)),"No")="Yes",IF(AND(OR($B$3="Stage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Girls"))),$B$5&gt;20),MIN(3,MAX(2,Setup!$B$14)),2))*2),AN64=$E$5,IF(AND(OR($B$3="Stage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Girls"))),$B$5&gt;20),MIN(3,MAX(2,Setup!$B$14)),2))*2-1))),AN64=$E$4,TRUE)),COUNTIF($C$32:$C63,AN64)&lt;$B$6,IF($BI64,COUNTIF($C$32:$C63,AN64)&lt;IF($B$3="Stage 1",MIN($B$6,MAX(1,INT($B$5/$B$11))),IF(AND($B$3="Stage 3",$B$5=20,$B$11&gt;11),1,IF(AND($B$3="Stage 3",OR($B$15="Year 10-11-12 Girls"),$B$5&gt;20),MAX(2,Setup!$B$14),Setup!$B$14))),IF(AND($B$3&lt;&gt;"Stage 2",$B$3&lt;&gt;"Stage 3"),TRUE,IF($U64,TRUE,COUNTIF($C$32:$C63,AN64)&lt;IF(AND($B$3="Stage 2",$B$5=20,AN64=$E$5,$A64&lt;=IF($B$8="One Keeper",$B$5,$B$8)),2,IF(AND(OR($B$3="Stage 2",AND($B$3="Stage 3",OR($B$15="Year 10-11-12 Girls"))),AN64=$E$5,$A64&lt;=IF($B$8="One Keeper",$B$5,$B$8)),3,$B$9)))))))</f>
        <v>0</v>
      </c>
      <c r="BB64" s="20" t="b">
        <f>IF(AO64="",FALSE,AND(AO64&lt;&gt;$B64,AO64&lt;&gt;$C63,IFERROR(INDEX($E$18:$E$30,MATCH(AO64,$B$18:$B$30,0)),"No")="Yes",IF(AND(OR($B$3="Stage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Girls"))),$B$5&gt;20),MIN(3,MAX(2,Setup!$B$14)),2))*2),AO64=$E$5,IF(AND(OR($B$3="Stage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Girls"))),$B$5&gt;20),MIN(3,MAX(2,Setup!$B$14)),2))*2-1))),AO64=$E$4,TRUE)),COUNTIF($C$32:$C63,AO64)&lt;$B$6,IF($BI64,COUNTIF($C$32:$C63,AO64)&lt;IF($B$3="Stage 1",MIN($B$6,MAX(1,INT($B$5/$B$11))),IF(AND($B$3="Stage 3",$B$5=20,$B$11&gt;11),1,IF(AND($B$3="Stage 3",OR($B$15="Year 10-11-12 Girls"),$B$5&gt;20),MAX(2,Setup!$B$14),Setup!$B$14))),IF(AND($B$3&lt;&gt;"Stage 2",$B$3&lt;&gt;"Stage 3"),TRUE,IF($U64,TRUE,COUNTIF($C$32:$C63,AO64)&lt;IF(AND($B$3="Stage 2",$B$5=20,AO64=$E$5,$A64&lt;=IF($B$8="One Keeper",$B$5,$B$8)),2,IF(AND(OR($B$3="Stage 2",AND($B$3="Stage 3",OR($B$15="Year 10-11-12 Girls"))),AO64=$E$5,$A64&lt;=IF($B$8="One Keeper",$B$5,$B$8)),3,$B$9)))))))</f>
        <v>0</v>
      </c>
      <c r="BC64" s="20" t="b">
        <f>IF(AP64="",FALSE,AND(AP64&lt;&gt;$B64,AP64&lt;&gt;$C63,IFERROR(INDEX($E$18:$E$30,MATCH(AP64,$B$18:$B$30,0)),"No")="Yes",IF(AND(OR($B$3="Stage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Girls"))),$B$5&gt;20),MIN(3,MAX(2,Setup!$B$14)),2))*2),AP64=$E$5,IF(AND(OR($B$3="Stage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Girls"))),$B$5&gt;20),MIN(3,MAX(2,Setup!$B$14)),2))*2-1))),AP64=$E$4,TRUE)),COUNTIF($C$32:$C63,AP64)&lt;$B$6,IF($BI64,COUNTIF($C$32:$C63,AP64)&lt;IF($B$3="Stage 1",MIN($B$6,MAX(1,INT($B$5/$B$11))),IF(AND($B$3="Stage 3",$B$5=20,$B$11&gt;11),1,IF(AND($B$3="Stage 3",OR($B$15="Year 10-11-12 Girls"),$B$5&gt;20),MAX(2,Setup!$B$14),Setup!$B$14))),IF(AND($B$3&lt;&gt;"Stage 2",$B$3&lt;&gt;"Stage 3"),TRUE,IF($U64,TRUE,COUNTIF($C$32:$C63,AP64)&lt;IF(AND($B$3="Stage 2",$B$5=20,AP64=$E$5,$A64&lt;=IF($B$8="One Keeper",$B$5,$B$8)),2,IF(AND(OR($B$3="Stage 2",AND($B$3="Stage 3",OR($B$15="Year 10-11-12 Girls"))),AP64=$E$5,$A64&lt;=IF($B$8="One Keeper",$B$5,$B$8)),3,$B$9)))))))</f>
        <v>0</v>
      </c>
      <c r="BD64" s="20" t="b">
        <f>IF(AQ64="",FALSE,AND(AQ64&lt;&gt;$B64,AQ64&lt;&gt;$C63,IFERROR(INDEX($E$18:$E$30,MATCH(AQ64,$B$18:$B$30,0)),"No")="Yes",IF(AND(OR($B$3="Stage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Girls"))),$B$5&gt;20),MIN(3,MAX(2,Setup!$B$14)),2))*2),AQ64=$E$5,IF(AND(OR($B$3="Stage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Girls"))),$B$5&gt;20),MIN(3,MAX(2,Setup!$B$14)),2))*2-1))),AQ64=$E$4,TRUE)),COUNTIF($C$32:$C63,AQ64)&lt;$B$6,IF($BI64,COUNTIF($C$32:$C63,AQ64)&lt;IF($B$3="Stage 1",MIN($B$6,MAX(1,INT($B$5/$B$11))),IF(AND($B$3="Stage 3",$B$5=20,$B$11&gt;11),1,IF(AND($B$3="Stage 3",OR($B$15="Year 10-11-12 Girls"),$B$5&gt;20),MAX(2,Setup!$B$14),Setup!$B$14))),IF(AND($B$3&lt;&gt;"Stage 2",$B$3&lt;&gt;"Stage 3"),TRUE,IF($U64,TRUE,COUNTIF($C$32:$C63,AQ64)&lt;IF(AND($B$3="Stage 2",$B$5=20,AQ64=$E$5,$A64&lt;=IF($B$8="One Keeper",$B$5,$B$8)),2,IF(AND(OR($B$3="Stage 2",AND($B$3="Stage 3",OR($B$15="Year 10-11-12 Girls"))),AQ64=$E$5,$A64&lt;=IF($B$8="One Keeper",$B$5,$B$8)),3,$B$9)))))))</f>
        <v>0</v>
      </c>
      <c r="BE64" s="20" t="b">
        <f>IF(AR64="",FALSE,AND(AR64&lt;&gt;$B64,AR64&lt;&gt;$C63,IFERROR(INDEX($E$18:$E$30,MATCH(AR64,$B$18:$B$30,0)),"No")="Yes",IF(AND(OR($B$3="Stage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Girls"))),$B$5&gt;20),MIN(3,MAX(2,Setup!$B$14)),2))*2),AR64=$E$5,IF(AND(OR($B$3="Stage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Girls"))),$B$5&gt;20),MIN(3,MAX(2,Setup!$B$14)),2))*2-1))),AR64=$E$4,TRUE)),COUNTIF($C$32:$C63,AR64)&lt;$B$6,IF($BI64,COUNTIF($C$32:$C63,AR64)&lt;IF($B$3="Stage 1",MIN($B$6,MAX(1,INT($B$5/$B$11))),IF(AND($B$3="Stage 3",$B$5=20,$B$11&gt;11),1,IF(AND($B$3="Stage 3",OR($B$15="Year 10-11-12 Girls"),$B$5&gt;20),MAX(2,Setup!$B$14),Setup!$B$14))),IF(AND($B$3&lt;&gt;"Stage 2",$B$3&lt;&gt;"Stage 3"),TRUE,IF($U64,TRUE,COUNTIF($C$32:$C63,AR64)&lt;IF(AND($B$3="Stage 2",$B$5=20,AR64=$E$5,$A64&lt;=IF($B$8="One Keeper",$B$5,$B$8)),2,IF(AND(OR($B$3="Stage 2",AND($B$3="Stage 3",OR($B$15="Year 10-11-12 Girls"))),AR64=$E$5,$A64&lt;=IF($B$8="One Keeper",$B$5,$B$8)),3,$B$9)))))))</f>
        <v>0</v>
      </c>
      <c r="BF64" s="20" t="b">
        <f>IF(AS64="",FALSE,AND(AS64&lt;&gt;$B64,AS64&lt;&gt;$C63,IFERROR(INDEX($E$18:$E$30,MATCH(AS64,$B$18:$B$30,0)),"No")="Yes",IF(AND(OR($B$3="Stage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Girls"))),$B$5&gt;20),MIN(3,MAX(2,Setup!$B$14)),2))*2),AS64=$E$5,IF(AND(OR($B$3="Stage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Girls"))),$B$5&gt;20),MIN(3,MAX(2,Setup!$B$14)),2))*2-1))),AS64=$E$4,TRUE)),COUNTIF($C$32:$C63,AS64)&lt;$B$6,IF($BI64,COUNTIF($C$32:$C63,AS64)&lt;IF($B$3="Stage 1",MIN($B$6,MAX(1,INT($B$5/$B$11))),IF(AND($B$3="Stage 3",$B$5=20,$B$11&gt;11),1,IF(AND($B$3="Stage 3",OR($B$15="Year 10-11-12 Girls"),$B$5&gt;20),MAX(2,Setup!$B$14),Setup!$B$14))),IF(AND($B$3&lt;&gt;"Stage 2",$B$3&lt;&gt;"Stage 3"),TRUE,IF($U64,TRUE,COUNTIF($C$32:$C63,AS64)&lt;IF(AND($B$3="Stage 2",$B$5=20,AS64=$E$5,$A64&lt;=IF($B$8="One Keeper",$B$5,$B$8)),2,IF(AND(OR($B$3="Stage 2",AND($B$3="Stage 3",OR($B$15="Year 10-11-12 Girls"))),AS64=$E$5,$A64&lt;=IF($B$8="One Keeper",$B$5,$B$8)),3,$B$9)))))))</f>
        <v>0</v>
      </c>
      <c r="BG64" s="20" t="b">
        <f>IF(AT64="",FALSE,AND(AT64&lt;&gt;$B64,AT64&lt;&gt;$C63,IFERROR(INDEX($E$18:$E$30,MATCH(AT64,$B$18:$B$30,0)),"No")="Yes",IF(AND(OR($B$3="Stage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Girls"))),$B$5&gt;20),MIN(3,MAX(2,Setup!$B$14)),2))*2),AT64=$E$5,IF(AND(OR($B$3="Stage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Girls"))),$B$5&gt;20),MIN(3,MAX(2,Setup!$B$14)),2))*2-1))),AT64=$E$4,TRUE)),COUNTIF($C$32:$C63,AT64)&lt;$B$6,IF($BI64,COUNTIF($C$32:$C63,AT64)&lt;IF($B$3="Stage 1",MIN($B$6,MAX(1,INT($B$5/$B$11))),IF(AND($B$3="Stage 3",$B$5=20,$B$11&gt;11),1,IF(AND($B$3="Stage 3",OR($B$15="Year 10-11-12 Girls"),$B$5&gt;20),MAX(2,Setup!$B$14),Setup!$B$14))),IF(AND($B$3&lt;&gt;"Stage 2",$B$3&lt;&gt;"Stage 3"),TRUE,IF($U64,TRUE,COUNTIF($C$32:$C63,AT64)&lt;IF(AND($B$3="Stage 2",$B$5=20,AT64=$E$5,$A64&lt;=IF($B$8="One Keeper",$B$5,$B$8)),2,IF(AND(OR($B$3="Stage 2",AND($B$3="Stage 3",OR($B$15="Year 10-11-12 Girls"))),AT64=$E$5,$A64&lt;=IF($B$8="One Keeper",$B$5,$B$8)),3,$B$9)))))))</f>
        <v>0</v>
      </c>
      <c r="BH64" s="20" t="b">
        <f>IF(AU64="",FALSE,AND(AU64&lt;&gt;$B64,AU64&lt;&gt;$C63,IFERROR(INDEX($E$18:$E$30,MATCH(AU64,$B$18:$B$30,0)),"No")="Yes",IF(AND(OR($B$3="Stage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Girls"))),$B$5&gt;20),MIN(3,MAX(2,Setup!$B$14)),2))*2),AU64=$E$5,IF(AND(OR($B$3="Stage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Girls"))),$B$5&gt;20),MIN(3,MAX(2,Setup!$B$14)),2))*2-1))),AU64=$E$4,TRUE)),COUNTIF($C$32:$C63,AU64)&lt;$B$6,IF($BI64,COUNTIF($C$32:$C63,AU64)&lt;IF($B$3="Stage 1",MIN($B$6,MAX(1,INT($B$5/$B$11))),IF(AND($B$3="Stage 3",$B$5=20,$B$11&gt;11),1,IF(AND($B$3="Stage 3",OR($B$15="Year 10-11-12 Girls"),$B$5&gt;20),MAX(2,Setup!$B$14),Setup!$B$14))),IF(AND($B$3&lt;&gt;"Stage 2",$B$3&lt;&gt;"Stage 3"),TRUE,IF($U64,TRUE,COUNTIF($C$32:$C63,AU64)&lt;IF(AND($B$3="Stage 2",$B$5=20,AU64=$E$5,$A64&lt;=IF($B$8="One Keeper",$B$5,$B$8)),2,IF(AND(OR($B$3="Stage 2",AND($B$3="Stage 3",OR($B$15="Year 10-11-12 Girls"))),AU64=$E$5,$A64&lt;=IF($B$8="One Keeper",$B$5,$B$8)),3,$B$9)))))))</f>
        <v>0</v>
      </c>
      <c r="BI64"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Keeper",$E$4&lt;&gt;$E$5,$A64&lt;=IF($B$8="One Keeper",$B$5,$B$8),COUNTIF($C$32:$C63,$E$5)&lt;IF(AND($B$3="Stage 3",$B$5=20,$B$11&gt;11),1,IF(AND(OR($B$3="Stage 2",AND($B$3="Stage 3",OR($B$15="Year 10-11-12 Girls"))),$B$5&gt;20),MIN(3,MAX(2,Setup!$B$14)),2)),IFERROR(INDEX($E$18:$E$30,MATCH($E$5,$B$18:$B$30,0)),"No")="Yes",$C63&lt;&gt;$E$5,MOD($A64,2)=0,$A64&lt;=IF(AND($B$3="Stage 3",$B$5=20,$B$11&gt;11),1,IF(AND(OR($B$3="Stage 2",AND($B$3="Stage 3",OR($B$15="Year 10-11-12 Girls"))),$B$5&gt;20),MIN(3,MAX(2,Setup!$B$14)),2))*2),AND(OR($B$3="Stage 1",$B$3="Stage 2",AND($B$3="Stage 3",OR(OR($B$15="Year 10-11-12 Girls"),OR($B$15="Year 8 Boys",$B$15="Year 9 Boys",$B$15="Year 10-11 Boys")))),$B$8&lt;&gt;"One Keeper",$E$4&lt;&gt;$E$5,$A64&gt;IF($B$8="One Keeper",$B$5,$B$8),COUNTIF($C$32:$C63,$E$4)&lt;IF(AND($B$3="Stage 3",$B$5=20,$B$11&gt;11),1,IF(AND(OR($B$3="Stage 2",AND($B$3="Stage 3",OR($B$15="Year 10-11-12 Girls"))),$B$5&gt;20),MIN(3,MAX(2,Setup!$B$14)),2)),IFERROR(INDEX($E$18:$E$30,MATCH($E$4,$B$18:$B$30,0)),"No")="Yes",$C63&lt;&gt;$E$4,IF($B$7="Three-over spell",AND(MOD($A64-IF($B$8="One Keeper",$B$5,$B$8)-1,3)=0,($A64-IF($B$8="One Keeper",$B$5,$B$8))&lt;=1+(IF(AND($B$3="Stage 3",$B$5=20,$B$11&gt;11),1,IF(AND(OR($B$3="Stage 2",AND($B$3="Stage 3",OR($B$15="Year 10-11-12 Girls"))),$B$5&gt;20),MIN(3,MAX(2,Setup!$B$14)),2))-1)*3),AND(MOD($A64-IF($B$8="One Keeper",$B$5,$B$8),2)=1,($A64-IF($B$8="One Keeper",$B$5,$B$8))&lt;=IF(AND($B$3="Stage 3",$B$5=20,$B$11&gt;11),1,IF(AND(OR($B$3="Stage 2",AND($B$3="Stage 3",OR($B$15="Year 10-11-12 Girls"))),$B$5&gt;20),MIN(3,MAX(2,Setup!$B$14)),2))*2-1))))),OR($U64,AND($B$3="Stage 3",$B$5=20,$B$11&gt;11)),OR($BJ64,$BK64,$BL64,$BM64,$BN64,$BO64,$BP64,$BQ64,$BR64,$BS64,$BT64,$BU64,$BV64))</f>
        <v>0</v>
      </c>
      <c r="BJ64" s="20" t="b">
        <f>IF(AI64="",FALSE,AND(AI64&lt;&gt;IF(AND($B$3="Stage 3",OR($B$15="Year 8 Boys",$B$15="Year 9 Boys",$B$15="Year 10-11 Boys"),$B$8="One Keeper"),$E$4,""),AI64&lt;&gt;$B64,AI64&lt;&gt;$C63,IFERROR(INDEX($E$18:$E$30,MATCH(AI64,$B$18:$B$30,0)),"No")="Yes",COUNTIF($C$32:$C63,AI64)&lt;$B$6,COUNTIF($C$32:$C63,AI64)&lt;IF($B$3="Stage 1",MIN($B$6,MAX(1,INT($B$5/$B$11))),IF(AND($B$3="Stage 3",$B$5=20,$B$11&gt;11),1,IF(AND($B$3="Stage 3",OR($B$15="Year 10-11-12 Girls"),$B$5&gt;20),MAX(2,Setup!$B$14),Setup!$B$14)))))</f>
        <v>0</v>
      </c>
      <c r="BK64" s="20" t="b">
        <f>IF(AJ64="",FALSE,AND(AJ64&lt;&gt;IF(AND($B$3="Stage 3",OR($B$15="Year 8 Boys",$B$15="Year 9 Boys",$B$15="Year 10-11 Boys"),$B$8="One Keeper"),$E$4,""),AJ64&lt;&gt;$B64,AJ64&lt;&gt;$C63,IFERROR(INDEX($E$18:$E$30,MATCH(AJ64,$B$18:$B$30,0)),"No")="Yes",COUNTIF($C$32:$C63,AJ64)&lt;$B$6,COUNTIF($C$32:$C63,AJ64)&lt;IF($B$3="Stage 1",MIN($B$6,MAX(1,INT($B$5/$B$11))),IF(AND($B$3="Stage 3",$B$5=20,$B$11&gt;11),1,IF(AND($B$3="Stage 3",OR($B$15="Year 10-11-12 Girls"),$B$5&gt;20),MAX(2,Setup!$B$14),Setup!$B$14)))))</f>
        <v>0</v>
      </c>
      <c r="BL64" s="20" t="b">
        <f>IF(AK64="",FALSE,AND(AK64&lt;&gt;IF(AND($B$3="Stage 3",OR($B$15="Year 8 Boys",$B$15="Year 9 Boys",$B$15="Year 10-11 Boys"),$B$8="One Keeper"),$E$4,""),AK64&lt;&gt;$B64,AK64&lt;&gt;$C63,IFERROR(INDEX($E$18:$E$30,MATCH(AK64,$B$18:$B$30,0)),"No")="Yes",COUNTIF($C$32:$C63,AK64)&lt;$B$6,COUNTIF($C$32:$C63,AK64)&lt;IF($B$3="Stage 1",MIN($B$6,MAX(1,INT($B$5/$B$11))),IF(AND($B$3="Stage 3",$B$5=20,$B$11&gt;11),1,IF(AND($B$3="Stage 3",OR($B$15="Year 10-11-12 Girls"),$B$5&gt;20),MAX(2,Setup!$B$14),Setup!$B$14)))))</f>
        <v>0</v>
      </c>
      <c r="BM64" s="20" t="b">
        <f>IF(AL64="",FALSE,AND(AL64&lt;&gt;IF(AND($B$3="Stage 3",OR($B$15="Year 8 Boys",$B$15="Year 9 Boys",$B$15="Year 10-11 Boys"),$B$8="One Keeper"),$E$4,""),AL64&lt;&gt;$B64,AL64&lt;&gt;$C63,IFERROR(INDEX($E$18:$E$30,MATCH(AL64,$B$18:$B$30,0)),"No")="Yes",COUNTIF($C$32:$C63,AL64)&lt;$B$6,COUNTIF($C$32:$C63,AL64)&lt;IF($B$3="Stage 1",MIN($B$6,MAX(1,INT($B$5/$B$11))),IF(AND($B$3="Stage 3",$B$5=20,$B$11&gt;11),1,IF(AND($B$3="Stage 3",OR($B$15="Year 10-11-12 Girls"),$B$5&gt;20),MAX(2,Setup!$B$14),Setup!$B$14)))))</f>
        <v>0</v>
      </c>
      <c r="BN64" s="20" t="b">
        <f>IF(AM64="",FALSE,AND(AM64&lt;&gt;IF(AND($B$3="Stage 3",OR($B$15="Year 8 Boys",$B$15="Year 9 Boys",$B$15="Year 10-11 Boys"),$B$8="One Keeper"),$E$4,""),AM64&lt;&gt;$B64,AM64&lt;&gt;$C63,IFERROR(INDEX($E$18:$E$30,MATCH(AM64,$B$18:$B$30,0)),"No")="Yes",COUNTIF($C$32:$C63,AM64)&lt;$B$6,COUNTIF($C$32:$C63,AM64)&lt;IF($B$3="Stage 1",MIN($B$6,MAX(1,INT($B$5/$B$11))),IF(AND($B$3="Stage 3",$B$5=20,$B$11&gt;11),1,IF(AND($B$3="Stage 3",OR($B$15="Year 10-11-12 Girls"),$B$5&gt;20),MAX(2,Setup!$B$14),Setup!$B$14)))))</f>
        <v>0</v>
      </c>
      <c r="BO64" s="20" t="b">
        <f>IF(AN64="",FALSE,AND(AN64&lt;&gt;IF(AND($B$3="Stage 3",OR($B$15="Year 8 Boys",$B$15="Year 9 Boys",$B$15="Year 10-11 Boys"),$B$8="One Keeper"),$E$4,""),AN64&lt;&gt;$B64,AN64&lt;&gt;$C63,IFERROR(INDEX($E$18:$E$30,MATCH(AN64,$B$18:$B$30,0)),"No")="Yes",COUNTIF($C$32:$C63,AN64)&lt;$B$6,COUNTIF($C$32:$C63,AN64)&lt;IF($B$3="Stage 1",MIN($B$6,MAX(1,INT($B$5/$B$11))),IF(AND($B$3="Stage 3",$B$5=20,$B$11&gt;11),1,IF(AND($B$3="Stage 3",OR($B$15="Year 10-11-12 Girls"),$B$5&gt;20),MAX(2,Setup!$B$14),Setup!$B$14)))))</f>
        <v>0</v>
      </c>
      <c r="BP64" s="20" t="b">
        <f>IF(AO64="",FALSE,AND(AO64&lt;&gt;IF(AND($B$3="Stage 3",OR($B$15="Year 8 Boys",$B$15="Year 9 Boys",$B$15="Year 10-11 Boys"),$B$8="One Keeper"),$E$4,""),AO64&lt;&gt;$B64,AO64&lt;&gt;$C63,IFERROR(INDEX($E$18:$E$30,MATCH(AO64,$B$18:$B$30,0)),"No")="Yes",COUNTIF($C$32:$C63,AO64)&lt;$B$6,COUNTIF($C$32:$C63,AO64)&lt;IF($B$3="Stage 1",MIN($B$6,MAX(1,INT($B$5/$B$11))),IF(AND($B$3="Stage 3",$B$5=20,$B$11&gt;11),1,IF(AND($B$3="Stage 3",OR($B$15="Year 10-11-12 Girls"),$B$5&gt;20),MAX(2,Setup!$B$14),Setup!$B$14)))))</f>
        <v>0</v>
      </c>
      <c r="BQ64" s="20" t="b">
        <f>IF(AP64="",FALSE,AND(AP64&lt;&gt;IF(AND($B$3="Stage 3",OR($B$15="Year 8 Boys",$B$15="Year 9 Boys",$B$15="Year 10-11 Boys"),$B$8="One Keeper"),$E$4,""),AP64&lt;&gt;$B64,AP64&lt;&gt;$C63,IFERROR(INDEX($E$18:$E$30,MATCH(AP64,$B$18:$B$30,0)),"No")="Yes",COUNTIF($C$32:$C63,AP64)&lt;$B$6,COUNTIF($C$32:$C63,AP64)&lt;IF($B$3="Stage 1",MIN($B$6,MAX(1,INT($B$5/$B$11))),IF(AND($B$3="Stage 3",$B$5=20,$B$11&gt;11),1,IF(AND($B$3="Stage 3",OR($B$15="Year 10-11-12 Girls"),$B$5&gt;20),MAX(2,Setup!$B$14),Setup!$B$14)))))</f>
        <v>0</v>
      </c>
      <c r="BR64" s="20" t="b">
        <f>IF(AQ64="",FALSE,AND(AQ64&lt;&gt;IF(AND($B$3="Stage 3",OR($B$15="Year 8 Boys",$B$15="Year 9 Boys",$B$15="Year 10-11 Boys"),$B$8="One Keeper"),$E$4,""),AQ64&lt;&gt;$B64,AQ64&lt;&gt;$C63,IFERROR(INDEX($E$18:$E$30,MATCH(AQ64,$B$18:$B$30,0)),"No")="Yes",COUNTIF($C$32:$C63,AQ64)&lt;$B$6,COUNTIF($C$32:$C63,AQ64)&lt;IF($B$3="Stage 1",MIN($B$6,MAX(1,INT($B$5/$B$11))),IF(AND($B$3="Stage 3",$B$5=20,$B$11&gt;11),1,IF(AND($B$3="Stage 3",OR($B$15="Year 10-11-12 Girls"),$B$5&gt;20),MAX(2,Setup!$B$14),Setup!$B$14)))))</f>
        <v>0</v>
      </c>
      <c r="BS64" s="20" t="b">
        <f>IF(AR64="",FALSE,AND(AR64&lt;&gt;IF(AND($B$3="Stage 3",OR($B$15="Year 8 Boys",$B$15="Year 9 Boys",$B$15="Year 10-11 Boys"),$B$8="One Keeper"),$E$4,""),AR64&lt;&gt;$B64,AR64&lt;&gt;$C63,IFERROR(INDEX($E$18:$E$30,MATCH(AR64,$B$18:$B$30,0)),"No")="Yes",COUNTIF($C$32:$C63,AR64)&lt;$B$6,COUNTIF($C$32:$C63,AR64)&lt;IF($B$3="Stage 1",MIN($B$6,MAX(1,INT($B$5/$B$11))),IF(AND($B$3="Stage 3",$B$5=20,$B$11&gt;11),1,IF(AND($B$3="Stage 3",OR($B$15="Year 10-11-12 Girls"),$B$5&gt;20),MAX(2,Setup!$B$14),Setup!$B$14)))))</f>
        <v>0</v>
      </c>
      <c r="BT64" s="20" t="b">
        <f>IF(AS64="",FALSE,AND(AS64&lt;&gt;IF(AND($B$3="Stage 3",OR($B$15="Year 8 Boys",$B$15="Year 9 Boys",$B$15="Year 10-11 Boys"),$B$8="One Keeper"),$E$4,""),AS64&lt;&gt;$B64,AS64&lt;&gt;$C63,IFERROR(INDEX($E$18:$E$30,MATCH(AS64,$B$18:$B$30,0)),"No")="Yes",COUNTIF($C$32:$C63,AS64)&lt;$B$6,COUNTIF($C$32:$C63,AS64)&lt;IF($B$3="Stage 1",MIN($B$6,MAX(1,INT($B$5/$B$11))),IF(AND($B$3="Stage 3",$B$5=20,$B$11&gt;11),1,IF(AND($B$3="Stage 3",OR($B$15="Year 10-11-12 Girls"),$B$5&gt;20),MAX(2,Setup!$B$14),Setup!$B$14)))))</f>
        <v>0</v>
      </c>
      <c r="BU64" s="20" t="b">
        <f>IF(AT64="",FALSE,AND(AT64&lt;&gt;IF(AND($B$3="Stage 3",OR($B$15="Year 8 Boys",$B$15="Year 9 Boys",$B$15="Year 10-11 Boys"),$B$8="One Keeper"),$E$4,""),AT64&lt;&gt;$B64,AT64&lt;&gt;$C63,IFERROR(INDEX($E$18:$E$30,MATCH(AT64,$B$18:$B$30,0)),"No")="Yes",COUNTIF($C$32:$C63,AT64)&lt;$B$6,COUNTIF($C$32:$C63,AT64)&lt;IF($B$3="Stage 1",MIN($B$6,MAX(1,INT($B$5/$B$11))),IF(AND($B$3="Stage 3",$B$5=20,$B$11&gt;11),1,IF(AND($B$3="Stage 3",OR($B$15="Year 10-11-12 Girls"),$B$5&gt;20),MAX(2,Setup!$B$14),Setup!$B$14)))))</f>
        <v>0</v>
      </c>
      <c r="BV64" s="20" t="b">
        <f>IF(AU64="",FALSE,AND(AU64&lt;&gt;IF(AND($B$3="Stage 3",OR($B$15="Year 8 Boys",$B$15="Year 9 Boys",$B$15="Year 10-11 Boys"),$B$8="One Keeper"),$E$4,""),AU64&lt;&gt;$B64,AU64&lt;&gt;$C63,IFERROR(INDEX($E$18:$E$30,MATCH(AU64,$B$18:$B$30,0)),"No")="Yes",COUNTIF($C$32:$C63,AU64)&lt;$B$6,COUNTIF($C$32:$C63,AU64)&lt;IF($B$3="Stage 1",MIN($B$6,MAX(1,INT($B$5/$B$11))),IF(AND($B$3="Stage 3",$B$5=20,$B$11&gt;11),1,IF(AND($B$3="Stage 3",OR($B$15="Year 10-11-12 Girls"),$B$5&gt;20),MAX(2,Setup!$B$14),Setup!$B$14)))))</f>
        <v>0</v>
      </c>
      <c r="BW64" s="20"/>
      <c r="BX64" s="20"/>
      <c r="BY64" s="20"/>
      <c r="BZ64" s="20"/>
      <c r="CA64" s="20"/>
      <c r="CB64" s="20"/>
      <c r="CC64" s="20"/>
      <c r="CD64" s="20"/>
      <c r="CE64" s="20"/>
      <c r="CF64" s="20"/>
      <c r="CG64" s="20"/>
      <c r="CH64" s="20"/>
      <c r="CI64" s="20"/>
      <c r="CJ64" s="20"/>
      <c r="CK64" s="20"/>
    </row>
    <row r="65" spans="1:89" ht="15" customHeight="1">
      <c r="A65" s="18">
        <v>34</v>
      </c>
      <c r="B65" s="18" t="str">
        <f t="shared" si="5"/>
        <v/>
      </c>
      <c r="C65" s="18" t="str">
        <f t="shared" si="6"/>
        <v/>
      </c>
      <c r="D65" s="18">
        <f t="shared" si="7"/>
        <v>8</v>
      </c>
      <c r="E65" s="18" t="str">
        <f>IF($C65="","",COUNTIF($C$32:C65,$C65))</f>
        <v/>
      </c>
      <c r="F65" s="18" t="str">
        <f t="shared" si="8"/>
        <v/>
      </c>
      <c r="T65" s="20" t="str">
        <f t="shared" si="15"/>
        <v/>
      </c>
      <c r="U65" s="20" t="b">
        <f>IF(OR($B$3="Stage 2",AND($B$3="Stage 3",OR($B$15="Year 10-11-12 Girls"))),(IF(AND($P$18&lt;&gt;"",$P$18&lt;&gt;$E$4,COUNTIF($C$32:$C64,$P$18)&gt;=2),1,0)+IF(AND($P$19&lt;&gt;"",$P$19&lt;&gt;$E$4,COUNTIF($C$32:$C64,$P$19)&gt;=2),1,0)+IF(AND($P$20&lt;&gt;"",$P$20&lt;&gt;$E$4,COUNTIF($C$32:$C64,$P$20)&gt;=2),1,0)+IF(AND($P$21&lt;&gt;"",$P$21&lt;&gt;$E$4,COUNTIF($C$32:$C64,$P$21)&gt;=2),1,0)+IF(AND($P$22&lt;&gt;"",$P$22&lt;&gt;$E$4,COUNTIF($C$32:$C64,$P$22)&gt;=2),1,0)+IF(AND($P$23&lt;&gt;"",$P$23&lt;&gt;$E$4,COUNTIF($C$32:$C64,$P$23)&gt;=2),1,0)+IF(AND($P$24&lt;&gt;"",$P$24&lt;&gt;$E$4,COUNTIF($C$32:$C64,$P$24)&gt;=2),1,0)+IF(AND($P$25&lt;&gt;"",$P$25&lt;&gt;$E$4,COUNTIF($C$32:$C64,$P$25)&gt;=2),1,0)+IF(AND($P$26&lt;&gt;"",$P$26&lt;&gt;$E$4,COUNTIF($C$32:$C64,$P$26)&gt;=2),1,0)+IF(AND($P$27&lt;&gt;"",$P$27&lt;&gt;$E$4,COUNTIF($C$32:$C64,$P$27)&gt;=2),1,0)+IF(AND($P$28&lt;&gt;"",$P$28&lt;&gt;$E$4,COUNTIF($C$32:$C64,$P$28)&gt;=2),1,0)+IF(AND($P$29&lt;&gt;"",$P$29&lt;&gt;$E$4,COUNTIF($C$32:$C64,$P$29)&gt;=2),1,0)+IF(AND($P$30&lt;&gt;"",$P$30&lt;&gt;$E$4,COUNTIF($C$32:$C64,$P$30)&gt;=2),1,0))&gt;=MAX(0,$B$11-1),IF(AND($B$3="Stage 3",OR($B$15="Year 8 Boys",$B$15="Year 9 Boys",$B$15="Year 10-11 Boys")),(IF(AND($P$18&lt;&gt;"",COUNTIF($C$32:$C64,$P$18)&gt;=2),1,0)+IF(AND($P$19&lt;&gt;"",COUNTIF($C$32:$C64,$P$19)&gt;=2),1,0)+IF(AND($P$20&lt;&gt;"",COUNTIF($C$32:$C64,$P$20)&gt;=2),1,0)+IF(AND($P$21&lt;&gt;"",COUNTIF($C$32:$C64,$P$21)&gt;=2),1,0)+IF(AND($P$22&lt;&gt;"",COUNTIF($C$32:$C64,$P$22)&gt;=2),1,0)+IF(AND($P$23&lt;&gt;"",COUNTIF($C$32:$C64,$P$23)&gt;=2),1,0)+IF(AND($P$24&lt;&gt;"",COUNTIF($C$32:$C64,$P$24)&gt;=2),1,0)+IF(AND($P$25&lt;&gt;"",COUNTIF($C$32:$C64,$P$25)&gt;=2),1,0)+IF(AND($P$26&lt;&gt;"",COUNTIF($C$32:$C64,$P$26)&gt;=2),1,0)+IF(AND($P$27&lt;&gt;"",COUNTIF($C$32:$C64,$P$27)&gt;=2),1,0)+IF(AND($P$28&lt;&gt;"",COUNTIF($C$32:$C64,$P$28)&gt;=2),1,0)+IF(AND($P$29&lt;&gt;"",COUNTIF($C$32:$C64,$P$29)&gt;=2),1,0)+IF(AND($P$30&lt;&gt;"",COUNTIF($C$32:$C64,$P$30)&gt;=2),1,0))&gt;=7,TRUE))</f>
        <v>1</v>
      </c>
      <c r="V65" s="20" t="str">
        <f t="shared" si="32"/>
        <v/>
      </c>
      <c r="W65" s="20" t="str">
        <f t="shared" si="32"/>
        <v/>
      </c>
      <c r="X65" s="20" t="str">
        <f t="shared" si="32"/>
        <v/>
      </c>
      <c r="Y65" s="20" t="str">
        <f t="shared" si="32"/>
        <v/>
      </c>
      <c r="Z65" s="20" t="str">
        <f t="shared" si="32"/>
        <v/>
      </c>
      <c r="AA65" s="20" t="str">
        <f t="shared" si="32"/>
        <v/>
      </c>
      <c r="AB65" s="20" t="str">
        <f t="shared" si="32"/>
        <v/>
      </c>
      <c r="AC65" s="20" t="str">
        <f t="shared" si="32"/>
        <v/>
      </c>
      <c r="AD65" s="20" t="str">
        <f t="shared" si="32"/>
        <v/>
      </c>
      <c r="AE65" s="20" t="str">
        <f t="shared" si="32"/>
        <v/>
      </c>
      <c r="AF65" s="20" t="str">
        <f t="shared" si="32"/>
        <v/>
      </c>
      <c r="AG65" s="20" t="str">
        <f t="shared" si="32"/>
        <v/>
      </c>
      <c r="AH65" s="20" t="str">
        <f t="shared" si="32"/>
        <v/>
      </c>
      <c r="AI65" s="20" t="str">
        <f t="shared" si="17"/>
        <v/>
      </c>
      <c r="AJ65" s="20" t="str">
        <f t="shared" si="18"/>
        <v/>
      </c>
      <c r="AK65" s="20" t="str">
        <f t="shared" si="19"/>
        <v/>
      </c>
      <c r="AL65" s="20" t="str">
        <f t="shared" si="20"/>
        <v/>
      </c>
      <c r="AM65" s="20" t="str">
        <f t="shared" si="21"/>
        <v/>
      </c>
      <c r="AN65" s="20" t="str">
        <f t="shared" si="22"/>
        <v/>
      </c>
      <c r="AO65" s="20" t="str">
        <f t="shared" si="23"/>
        <v/>
      </c>
      <c r="AP65" s="20" t="str">
        <f t="shared" si="24"/>
        <v/>
      </c>
      <c r="AQ65" s="20" t="str">
        <f t="shared" si="25"/>
        <v/>
      </c>
      <c r="AR65" s="20" t="str">
        <f t="shared" si="26"/>
        <v/>
      </c>
      <c r="AS65" s="20" t="str">
        <f t="shared" si="27"/>
        <v/>
      </c>
      <c r="AT65" s="20" t="str">
        <f t="shared" si="28"/>
        <v/>
      </c>
      <c r="AU65" s="20" t="str">
        <f t="shared" si="29"/>
        <v/>
      </c>
      <c r="AV65" s="20" t="b">
        <f>IF(AI65="",FALSE,AND(AI65&lt;&gt;$B65,AI65&lt;&gt;$C64,IFERROR(INDEX($E$18:$E$30,MATCH(AI65,$B$18:$B$30,0)),"No")="Yes",IF(AND(OR($B$3="Stage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Girls"))),$B$5&gt;20),MIN(3,MAX(2,Setup!$B$14)),2))*2),AI65=$E$5,IF(AND(OR($B$3="Stage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Girls"))),$B$5&gt;20),MIN(3,MAX(2,Setup!$B$14)),2))*2-1))),AI65=$E$4,TRUE)),COUNTIF($C$32:$C64,AI65)&lt;$B$6,IF($BI65,COUNTIF($C$32:$C64,AI65)&lt;IF($B$3="Stage 1",MIN($B$6,MAX(1,INT($B$5/$B$11))),IF(AND($B$3="Stage 3",$B$5=20,$B$11&gt;11),1,IF(AND($B$3="Stage 3",OR($B$15="Year 10-11-12 Girls"),$B$5&gt;20),MAX(2,Setup!$B$14),Setup!$B$14))),IF(AND($B$3&lt;&gt;"Stage 2",$B$3&lt;&gt;"Stage 3"),TRUE,IF($U65,TRUE,COUNTIF($C$32:$C64,AI65)&lt;IF(AND($B$3="Stage 2",$B$5=20,AI65=$E$5,$A65&lt;=IF($B$8="One Keeper",$B$5,$B$8)),2,IF(AND(OR($B$3="Stage 2",AND($B$3="Stage 3",OR($B$15="Year 10-11-12 Girls"))),AI65=$E$5,$A65&lt;=IF($B$8="One Keeper",$B$5,$B$8)),3,$B$9)))))))</f>
        <v>0</v>
      </c>
      <c r="AW65" s="20" t="b">
        <f>IF(AJ65="",FALSE,AND(AJ65&lt;&gt;$B65,AJ65&lt;&gt;$C64,IFERROR(INDEX($E$18:$E$30,MATCH(AJ65,$B$18:$B$30,0)),"No")="Yes",IF(AND(OR($B$3="Stage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Girls"))),$B$5&gt;20),MIN(3,MAX(2,Setup!$B$14)),2))*2),AJ65=$E$5,IF(AND(OR($B$3="Stage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Girls"))),$B$5&gt;20),MIN(3,MAX(2,Setup!$B$14)),2))*2-1))),AJ65=$E$4,TRUE)),COUNTIF($C$32:$C64,AJ65)&lt;$B$6,IF($BI65,COUNTIF($C$32:$C64,AJ65)&lt;IF($B$3="Stage 1",MIN($B$6,MAX(1,INT($B$5/$B$11))),IF(AND($B$3="Stage 3",$B$5=20,$B$11&gt;11),1,IF(AND($B$3="Stage 3",OR($B$15="Year 10-11-12 Girls"),$B$5&gt;20),MAX(2,Setup!$B$14),Setup!$B$14))),IF(AND($B$3&lt;&gt;"Stage 2",$B$3&lt;&gt;"Stage 3"),TRUE,IF($U65,TRUE,COUNTIF($C$32:$C64,AJ65)&lt;IF(AND($B$3="Stage 2",$B$5=20,AJ65=$E$5,$A65&lt;=IF($B$8="One Keeper",$B$5,$B$8)),2,IF(AND(OR($B$3="Stage 2",AND($B$3="Stage 3",OR($B$15="Year 10-11-12 Girls"))),AJ65=$E$5,$A65&lt;=IF($B$8="One Keeper",$B$5,$B$8)),3,$B$9)))))))</f>
        <v>0</v>
      </c>
      <c r="AX65" s="20" t="b">
        <f>IF(AK65="",FALSE,AND(AK65&lt;&gt;$B65,AK65&lt;&gt;$C64,IFERROR(INDEX($E$18:$E$30,MATCH(AK65,$B$18:$B$30,0)),"No")="Yes",IF(AND(OR($B$3="Stage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Girls"))),$B$5&gt;20),MIN(3,MAX(2,Setup!$B$14)),2))*2),AK65=$E$5,IF(AND(OR($B$3="Stage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Girls"))),$B$5&gt;20),MIN(3,MAX(2,Setup!$B$14)),2))*2-1))),AK65=$E$4,TRUE)),COUNTIF($C$32:$C64,AK65)&lt;$B$6,IF($BI65,COUNTIF($C$32:$C64,AK65)&lt;IF($B$3="Stage 1",MIN($B$6,MAX(1,INT($B$5/$B$11))),IF(AND($B$3="Stage 3",$B$5=20,$B$11&gt;11),1,IF(AND($B$3="Stage 3",OR($B$15="Year 10-11-12 Girls"),$B$5&gt;20),MAX(2,Setup!$B$14),Setup!$B$14))),IF(AND($B$3&lt;&gt;"Stage 2",$B$3&lt;&gt;"Stage 3"),TRUE,IF($U65,TRUE,COUNTIF($C$32:$C64,AK65)&lt;IF(AND($B$3="Stage 2",$B$5=20,AK65=$E$5,$A65&lt;=IF($B$8="One Keeper",$B$5,$B$8)),2,IF(AND(OR($B$3="Stage 2",AND($B$3="Stage 3",OR($B$15="Year 10-11-12 Girls"))),AK65=$E$5,$A65&lt;=IF($B$8="One Keeper",$B$5,$B$8)),3,$B$9)))))))</f>
        <v>0</v>
      </c>
      <c r="AY65" s="20" t="b">
        <f>IF(AL65="",FALSE,AND(AL65&lt;&gt;$B65,AL65&lt;&gt;$C64,IFERROR(INDEX($E$18:$E$30,MATCH(AL65,$B$18:$B$30,0)),"No")="Yes",IF(AND(OR($B$3="Stage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Girls"))),$B$5&gt;20),MIN(3,MAX(2,Setup!$B$14)),2))*2),AL65=$E$5,IF(AND(OR($B$3="Stage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Girls"))),$B$5&gt;20),MIN(3,MAX(2,Setup!$B$14)),2))*2-1))),AL65=$E$4,TRUE)),COUNTIF($C$32:$C64,AL65)&lt;$B$6,IF($BI65,COUNTIF($C$32:$C64,AL65)&lt;IF($B$3="Stage 1",MIN($B$6,MAX(1,INT($B$5/$B$11))),IF(AND($B$3="Stage 3",$B$5=20,$B$11&gt;11),1,IF(AND($B$3="Stage 3",OR($B$15="Year 10-11-12 Girls"),$B$5&gt;20),MAX(2,Setup!$B$14),Setup!$B$14))),IF(AND($B$3&lt;&gt;"Stage 2",$B$3&lt;&gt;"Stage 3"),TRUE,IF($U65,TRUE,COUNTIF($C$32:$C64,AL65)&lt;IF(AND($B$3="Stage 2",$B$5=20,AL65=$E$5,$A65&lt;=IF($B$8="One Keeper",$B$5,$B$8)),2,IF(AND(OR($B$3="Stage 2",AND($B$3="Stage 3",OR($B$15="Year 10-11-12 Girls"))),AL65=$E$5,$A65&lt;=IF($B$8="One Keeper",$B$5,$B$8)),3,$B$9)))))))</f>
        <v>0</v>
      </c>
      <c r="AZ65" s="20" t="b">
        <f>IF(AM65="",FALSE,AND(AM65&lt;&gt;$B65,AM65&lt;&gt;$C64,IFERROR(INDEX($E$18:$E$30,MATCH(AM65,$B$18:$B$30,0)),"No")="Yes",IF(AND(OR($B$3="Stage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Girls"))),$B$5&gt;20),MIN(3,MAX(2,Setup!$B$14)),2))*2),AM65=$E$5,IF(AND(OR($B$3="Stage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Girls"))),$B$5&gt;20),MIN(3,MAX(2,Setup!$B$14)),2))*2-1))),AM65=$E$4,TRUE)),COUNTIF($C$32:$C64,AM65)&lt;$B$6,IF($BI65,COUNTIF($C$32:$C64,AM65)&lt;IF($B$3="Stage 1",MIN($B$6,MAX(1,INT($B$5/$B$11))),IF(AND($B$3="Stage 3",$B$5=20,$B$11&gt;11),1,IF(AND($B$3="Stage 3",OR($B$15="Year 10-11-12 Girls"),$B$5&gt;20),MAX(2,Setup!$B$14),Setup!$B$14))),IF(AND($B$3&lt;&gt;"Stage 2",$B$3&lt;&gt;"Stage 3"),TRUE,IF($U65,TRUE,COUNTIF($C$32:$C64,AM65)&lt;IF(AND($B$3="Stage 2",$B$5=20,AM65=$E$5,$A65&lt;=IF($B$8="One Keeper",$B$5,$B$8)),2,IF(AND(OR($B$3="Stage 2",AND($B$3="Stage 3",OR($B$15="Year 10-11-12 Girls"))),AM65=$E$5,$A65&lt;=IF($B$8="One Keeper",$B$5,$B$8)),3,$B$9)))))))</f>
        <v>0</v>
      </c>
      <c r="BA65" s="20" t="b">
        <f>IF(AN65="",FALSE,AND(AN65&lt;&gt;$B65,AN65&lt;&gt;$C64,IFERROR(INDEX($E$18:$E$30,MATCH(AN65,$B$18:$B$30,0)),"No")="Yes",IF(AND(OR($B$3="Stage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Girls"))),$B$5&gt;20),MIN(3,MAX(2,Setup!$B$14)),2))*2),AN65=$E$5,IF(AND(OR($B$3="Stage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Girls"))),$B$5&gt;20),MIN(3,MAX(2,Setup!$B$14)),2))*2-1))),AN65=$E$4,TRUE)),COUNTIF($C$32:$C64,AN65)&lt;$B$6,IF($BI65,COUNTIF($C$32:$C64,AN65)&lt;IF($B$3="Stage 1",MIN($B$6,MAX(1,INT($B$5/$B$11))),IF(AND($B$3="Stage 3",$B$5=20,$B$11&gt;11),1,IF(AND($B$3="Stage 3",OR($B$15="Year 10-11-12 Girls"),$B$5&gt;20),MAX(2,Setup!$B$14),Setup!$B$14))),IF(AND($B$3&lt;&gt;"Stage 2",$B$3&lt;&gt;"Stage 3"),TRUE,IF($U65,TRUE,COUNTIF($C$32:$C64,AN65)&lt;IF(AND($B$3="Stage 2",$B$5=20,AN65=$E$5,$A65&lt;=IF($B$8="One Keeper",$B$5,$B$8)),2,IF(AND(OR($B$3="Stage 2",AND($B$3="Stage 3",OR($B$15="Year 10-11-12 Girls"))),AN65=$E$5,$A65&lt;=IF($B$8="One Keeper",$B$5,$B$8)),3,$B$9)))))))</f>
        <v>0</v>
      </c>
      <c r="BB65" s="20" t="b">
        <f>IF(AO65="",FALSE,AND(AO65&lt;&gt;$B65,AO65&lt;&gt;$C64,IFERROR(INDEX($E$18:$E$30,MATCH(AO65,$B$18:$B$30,0)),"No")="Yes",IF(AND(OR($B$3="Stage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Girls"))),$B$5&gt;20),MIN(3,MAX(2,Setup!$B$14)),2))*2),AO65=$E$5,IF(AND(OR($B$3="Stage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Girls"))),$B$5&gt;20),MIN(3,MAX(2,Setup!$B$14)),2))*2-1))),AO65=$E$4,TRUE)),COUNTIF($C$32:$C64,AO65)&lt;$B$6,IF($BI65,COUNTIF($C$32:$C64,AO65)&lt;IF($B$3="Stage 1",MIN($B$6,MAX(1,INT($B$5/$B$11))),IF(AND($B$3="Stage 3",$B$5=20,$B$11&gt;11),1,IF(AND($B$3="Stage 3",OR($B$15="Year 10-11-12 Girls"),$B$5&gt;20),MAX(2,Setup!$B$14),Setup!$B$14))),IF(AND($B$3&lt;&gt;"Stage 2",$B$3&lt;&gt;"Stage 3"),TRUE,IF($U65,TRUE,COUNTIF($C$32:$C64,AO65)&lt;IF(AND($B$3="Stage 2",$B$5=20,AO65=$E$5,$A65&lt;=IF($B$8="One Keeper",$B$5,$B$8)),2,IF(AND(OR($B$3="Stage 2",AND($B$3="Stage 3",OR($B$15="Year 10-11-12 Girls"))),AO65=$E$5,$A65&lt;=IF($B$8="One Keeper",$B$5,$B$8)),3,$B$9)))))))</f>
        <v>0</v>
      </c>
      <c r="BC65" s="20" t="b">
        <f>IF(AP65="",FALSE,AND(AP65&lt;&gt;$B65,AP65&lt;&gt;$C64,IFERROR(INDEX($E$18:$E$30,MATCH(AP65,$B$18:$B$30,0)),"No")="Yes",IF(AND(OR($B$3="Stage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Girls"))),$B$5&gt;20),MIN(3,MAX(2,Setup!$B$14)),2))*2),AP65=$E$5,IF(AND(OR($B$3="Stage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Girls"))),$B$5&gt;20),MIN(3,MAX(2,Setup!$B$14)),2))*2-1))),AP65=$E$4,TRUE)),COUNTIF($C$32:$C64,AP65)&lt;$B$6,IF($BI65,COUNTIF($C$32:$C64,AP65)&lt;IF($B$3="Stage 1",MIN($B$6,MAX(1,INT($B$5/$B$11))),IF(AND($B$3="Stage 3",$B$5=20,$B$11&gt;11),1,IF(AND($B$3="Stage 3",OR($B$15="Year 10-11-12 Girls"),$B$5&gt;20),MAX(2,Setup!$B$14),Setup!$B$14))),IF(AND($B$3&lt;&gt;"Stage 2",$B$3&lt;&gt;"Stage 3"),TRUE,IF($U65,TRUE,COUNTIF($C$32:$C64,AP65)&lt;IF(AND($B$3="Stage 2",$B$5=20,AP65=$E$5,$A65&lt;=IF($B$8="One Keeper",$B$5,$B$8)),2,IF(AND(OR($B$3="Stage 2",AND($B$3="Stage 3",OR($B$15="Year 10-11-12 Girls"))),AP65=$E$5,$A65&lt;=IF($B$8="One Keeper",$B$5,$B$8)),3,$B$9)))))))</f>
        <v>0</v>
      </c>
      <c r="BD65" s="20" t="b">
        <f>IF(AQ65="",FALSE,AND(AQ65&lt;&gt;$B65,AQ65&lt;&gt;$C64,IFERROR(INDEX($E$18:$E$30,MATCH(AQ65,$B$18:$B$30,0)),"No")="Yes",IF(AND(OR($B$3="Stage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Girls"))),$B$5&gt;20),MIN(3,MAX(2,Setup!$B$14)),2))*2),AQ65=$E$5,IF(AND(OR($B$3="Stage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Girls"))),$B$5&gt;20),MIN(3,MAX(2,Setup!$B$14)),2))*2-1))),AQ65=$E$4,TRUE)),COUNTIF($C$32:$C64,AQ65)&lt;$B$6,IF($BI65,COUNTIF($C$32:$C64,AQ65)&lt;IF($B$3="Stage 1",MIN($B$6,MAX(1,INT($B$5/$B$11))),IF(AND($B$3="Stage 3",$B$5=20,$B$11&gt;11),1,IF(AND($B$3="Stage 3",OR($B$15="Year 10-11-12 Girls"),$B$5&gt;20),MAX(2,Setup!$B$14),Setup!$B$14))),IF(AND($B$3&lt;&gt;"Stage 2",$B$3&lt;&gt;"Stage 3"),TRUE,IF($U65,TRUE,COUNTIF($C$32:$C64,AQ65)&lt;IF(AND($B$3="Stage 2",$B$5=20,AQ65=$E$5,$A65&lt;=IF($B$8="One Keeper",$B$5,$B$8)),2,IF(AND(OR($B$3="Stage 2",AND($B$3="Stage 3",OR($B$15="Year 10-11-12 Girls"))),AQ65=$E$5,$A65&lt;=IF($B$8="One Keeper",$B$5,$B$8)),3,$B$9)))))))</f>
        <v>0</v>
      </c>
      <c r="BE65" s="20" t="b">
        <f>IF(AR65="",FALSE,AND(AR65&lt;&gt;$B65,AR65&lt;&gt;$C64,IFERROR(INDEX($E$18:$E$30,MATCH(AR65,$B$18:$B$30,0)),"No")="Yes",IF(AND(OR($B$3="Stage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Girls"))),$B$5&gt;20),MIN(3,MAX(2,Setup!$B$14)),2))*2),AR65=$E$5,IF(AND(OR($B$3="Stage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Girls"))),$B$5&gt;20),MIN(3,MAX(2,Setup!$B$14)),2))*2-1))),AR65=$E$4,TRUE)),COUNTIF($C$32:$C64,AR65)&lt;$B$6,IF($BI65,COUNTIF($C$32:$C64,AR65)&lt;IF($B$3="Stage 1",MIN($B$6,MAX(1,INT($B$5/$B$11))),IF(AND($B$3="Stage 3",$B$5=20,$B$11&gt;11),1,IF(AND($B$3="Stage 3",OR($B$15="Year 10-11-12 Girls"),$B$5&gt;20),MAX(2,Setup!$B$14),Setup!$B$14))),IF(AND($B$3&lt;&gt;"Stage 2",$B$3&lt;&gt;"Stage 3"),TRUE,IF($U65,TRUE,COUNTIF($C$32:$C64,AR65)&lt;IF(AND($B$3="Stage 2",$B$5=20,AR65=$E$5,$A65&lt;=IF($B$8="One Keeper",$B$5,$B$8)),2,IF(AND(OR($B$3="Stage 2",AND($B$3="Stage 3",OR($B$15="Year 10-11-12 Girls"))),AR65=$E$5,$A65&lt;=IF($B$8="One Keeper",$B$5,$B$8)),3,$B$9)))))))</f>
        <v>0</v>
      </c>
      <c r="BF65" s="20" t="b">
        <f>IF(AS65="",FALSE,AND(AS65&lt;&gt;$B65,AS65&lt;&gt;$C64,IFERROR(INDEX($E$18:$E$30,MATCH(AS65,$B$18:$B$30,0)),"No")="Yes",IF(AND(OR($B$3="Stage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Girls"))),$B$5&gt;20),MIN(3,MAX(2,Setup!$B$14)),2))*2),AS65=$E$5,IF(AND(OR($B$3="Stage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Girls"))),$B$5&gt;20),MIN(3,MAX(2,Setup!$B$14)),2))*2-1))),AS65=$E$4,TRUE)),COUNTIF($C$32:$C64,AS65)&lt;$B$6,IF($BI65,COUNTIF($C$32:$C64,AS65)&lt;IF($B$3="Stage 1",MIN($B$6,MAX(1,INT($B$5/$B$11))),IF(AND($B$3="Stage 3",$B$5=20,$B$11&gt;11),1,IF(AND($B$3="Stage 3",OR($B$15="Year 10-11-12 Girls"),$B$5&gt;20),MAX(2,Setup!$B$14),Setup!$B$14))),IF(AND($B$3&lt;&gt;"Stage 2",$B$3&lt;&gt;"Stage 3"),TRUE,IF($U65,TRUE,COUNTIF($C$32:$C64,AS65)&lt;IF(AND($B$3="Stage 2",$B$5=20,AS65=$E$5,$A65&lt;=IF($B$8="One Keeper",$B$5,$B$8)),2,IF(AND(OR($B$3="Stage 2",AND($B$3="Stage 3",OR($B$15="Year 10-11-12 Girls"))),AS65=$E$5,$A65&lt;=IF($B$8="One Keeper",$B$5,$B$8)),3,$B$9)))))))</f>
        <v>0</v>
      </c>
      <c r="BG65" s="20" t="b">
        <f>IF(AT65="",FALSE,AND(AT65&lt;&gt;$B65,AT65&lt;&gt;$C64,IFERROR(INDEX($E$18:$E$30,MATCH(AT65,$B$18:$B$30,0)),"No")="Yes",IF(AND(OR($B$3="Stage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Girls"))),$B$5&gt;20),MIN(3,MAX(2,Setup!$B$14)),2))*2),AT65=$E$5,IF(AND(OR($B$3="Stage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Girls"))),$B$5&gt;20),MIN(3,MAX(2,Setup!$B$14)),2))*2-1))),AT65=$E$4,TRUE)),COUNTIF($C$32:$C64,AT65)&lt;$B$6,IF($BI65,COUNTIF($C$32:$C64,AT65)&lt;IF($B$3="Stage 1",MIN($B$6,MAX(1,INT($B$5/$B$11))),IF(AND($B$3="Stage 3",$B$5=20,$B$11&gt;11),1,IF(AND($B$3="Stage 3",OR($B$15="Year 10-11-12 Girls"),$B$5&gt;20),MAX(2,Setup!$B$14),Setup!$B$14))),IF(AND($B$3&lt;&gt;"Stage 2",$B$3&lt;&gt;"Stage 3"),TRUE,IF($U65,TRUE,COUNTIF($C$32:$C64,AT65)&lt;IF(AND($B$3="Stage 2",$B$5=20,AT65=$E$5,$A65&lt;=IF($B$8="One Keeper",$B$5,$B$8)),2,IF(AND(OR($B$3="Stage 2",AND($B$3="Stage 3",OR($B$15="Year 10-11-12 Girls"))),AT65=$E$5,$A65&lt;=IF($B$8="One Keeper",$B$5,$B$8)),3,$B$9)))))))</f>
        <v>0</v>
      </c>
      <c r="BH65" s="20" t="b">
        <f>IF(AU65="",FALSE,AND(AU65&lt;&gt;$B65,AU65&lt;&gt;$C64,IFERROR(INDEX($E$18:$E$30,MATCH(AU65,$B$18:$B$30,0)),"No")="Yes",IF(AND(OR($B$3="Stage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Girls"))),$B$5&gt;20),MIN(3,MAX(2,Setup!$B$14)),2))*2),AU65=$E$5,IF(AND(OR($B$3="Stage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Girls"))),$B$5&gt;20),MIN(3,MAX(2,Setup!$B$14)),2))*2-1))),AU65=$E$4,TRUE)),COUNTIF($C$32:$C64,AU65)&lt;$B$6,IF($BI65,COUNTIF($C$32:$C64,AU65)&lt;IF($B$3="Stage 1",MIN($B$6,MAX(1,INT($B$5/$B$11))),IF(AND($B$3="Stage 3",$B$5=20,$B$11&gt;11),1,IF(AND($B$3="Stage 3",OR($B$15="Year 10-11-12 Girls"),$B$5&gt;20),MAX(2,Setup!$B$14),Setup!$B$14))),IF(AND($B$3&lt;&gt;"Stage 2",$B$3&lt;&gt;"Stage 3"),TRUE,IF($U65,TRUE,COUNTIF($C$32:$C64,AU65)&lt;IF(AND($B$3="Stage 2",$B$5=20,AU65=$E$5,$A65&lt;=IF($B$8="One Keeper",$B$5,$B$8)),2,IF(AND(OR($B$3="Stage 2",AND($B$3="Stage 3",OR($B$15="Year 10-11-12 Girls"))),AU65=$E$5,$A65&lt;=IF($B$8="One Keeper",$B$5,$B$8)),3,$B$9)))))))</f>
        <v>0</v>
      </c>
      <c r="BI65"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Keeper",$E$4&lt;&gt;$E$5,$A65&lt;=IF($B$8="One Keeper",$B$5,$B$8),COUNTIF($C$32:$C64,$E$5)&lt;IF(AND($B$3="Stage 3",$B$5=20,$B$11&gt;11),1,IF(AND(OR($B$3="Stage 2",AND($B$3="Stage 3",OR($B$15="Year 10-11-12 Girls"))),$B$5&gt;20),MIN(3,MAX(2,Setup!$B$14)),2)),IFERROR(INDEX($E$18:$E$30,MATCH($E$5,$B$18:$B$30,0)),"No")="Yes",$C64&lt;&gt;$E$5,MOD($A65,2)=0,$A65&lt;=IF(AND($B$3="Stage 3",$B$5=20,$B$11&gt;11),1,IF(AND(OR($B$3="Stage 2",AND($B$3="Stage 3",OR($B$15="Year 10-11-12 Girls"))),$B$5&gt;20),MIN(3,MAX(2,Setup!$B$14)),2))*2),AND(OR($B$3="Stage 1",$B$3="Stage 2",AND($B$3="Stage 3",OR(OR($B$15="Year 10-11-12 Girls"),OR($B$15="Year 8 Boys",$B$15="Year 9 Boys",$B$15="Year 10-11 Boys")))),$B$8&lt;&gt;"One Keeper",$E$4&lt;&gt;$E$5,$A65&gt;IF($B$8="One Keeper",$B$5,$B$8),COUNTIF($C$32:$C64,$E$4)&lt;IF(AND($B$3="Stage 3",$B$5=20,$B$11&gt;11),1,IF(AND(OR($B$3="Stage 2",AND($B$3="Stage 3",OR($B$15="Year 10-11-12 Girls"))),$B$5&gt;20),MIN(3,MAX(2,Setup!$B$14)),2)),IFERROR(INDEX($E$18:$E$30,MATCH($E$4,$B$18:$B$30,0)),"No")="Yes",$C64&lt;&gt;$E$4,IF($B$7="Three-over spell",AND(MOD($A65-IF($B$8="One Keeper",$B$5,$B$8)-1,3)=0,($A65-IF($B$8="One Keeper",$B$5,$B$8))&lt;=1+(IF(AND($B$3="Stage 3",$B$5=20,$B$11&gt;11),1,IF(AND(OR($B$3="Stage 2",AND($B$3="Stage 3",OR($B$15="Year 10-11-12 Girls"))),$B$5&gt;20),MIN(3,MAX(2,Setup!$B$14)),2))-1)*3),AND(MOD($A65-IF($B$8="One Keeper",$B$5,$B$8),2)=1,($A65-IF($B$8="One Keeper",$B$5,$B$8))&lt;=IF(AND($B$3="Stage 3",$B$5=20,$B$11&gt;11),1,IF(AND(OR($B$3="Stage 2",AND($B$3="Stage 3",OR($B$15="Year 10-11-12 Girls"))),$B$5&gt;20),MIN(3,MAX(2,Setup!$B$14)),2))*2-1))))),OR($U65,AND($B$3="Stage 3",$B$5=20,$B$11&gt;11)),OR($BJ65,$BK65,$BL65,$BM65,$BN65,$BO65,$BP65,$BQ65,$BR65,$BS65,$BT65,$BU65,$BV65))</f>
        <v>0</v>
      </c>
      <c r="BJ65" s="20" t="b">
        <f>IF(AI65="",FALSE,AND(AI65&lt;&gt;IF(AND($B$3="Stage 3",OR($B$15="Year 8 Boys",$B$15="Year 9 Boys",$B$15="Year 10-11 Boys"),$B$8="One Keeper"),$E$4,""),AI65&lt;&gt;$B65,AI65&lt;&gt;$C64,IFERROR(INDEX($E$18:$E$30,MATCH(AI65,$B$18:$B$30,0)),"No")="Yes",COUNTIF($C$32:$C64,AI65)&lt;$B$6,COUNTIF($C$32:$C64,AI65)&lt;IF($B$3="Stage 1",MIN($B$6,MAX(1,INT($B$5/$B$11))),IF(AND($B$3="Stage 3",$B$5=20,$B$11&gt;11),1,IF(AND($B$3="Stage 3",OR($B$15="Year 10-11-12 Girls"),$B$5&gt;20),MAX(2,Setup!$B$14),Setup!$B$14)))))</f>
        <v>0</v>
      </c>
      <c r="BK65" s="20" t="b">
        <f>IF(AJ65="",FALSE,AND(AJ65&lt;&gt;IF(AND($B$3="Stage 3",OR($B$15="Year 8 Boys",$B$15="Year 9 Boys",$B$15="Year 10-11 Boys"),$B$8="One Keeper"),$E$4,""),AJ65&lt;&gt;$B65,AJ65&lt;&gt;$C64,IFERROR(INDEX($E$18:$E$30,MATCH(AJ65,$B$18:$B$30,0)),"No")="Yes",COUNTIF($C$32:$C64,AJ65)&lt;$B$6,COUNTIF($C$32:$C64,AJ65)&lt;IF($B$3="Stage 1",MIN($B$6,MAX(1,INT($B$5/$B$11))),IF(AND($B$3="Stage 3",$B$5=20,$B$11&gt;11),1,IF(AND($B$3="Stage 3",OR($B$15="Year 10-11-12 Girls"),$B$5&gt;20),MAX(2,Setup!$B$14),Setup!$B$14)))))</f>
        <v>0</v>
      </c>
      <c r="BL65" s="20" t="b">
        <f>IF(AK65="",FALSE,AND(AK65&lt;&gt;IF(AND($B$3="Stage 3",OR($B$15="Year 8 Boys",$B$15="Year 9 Boys",$B$15="Year 10-11 Boys"),$B$8="One Keeper"),$E$4,""),AK65&lt;&gt;$B65,AK65&lt;&gt;$C64,IFERROR(INDEX($E$18:$E$30,MATCH(AK65,$B$18:$B$30,0)),"No")="Yes",COUNTIF($C$32:$C64,AK65)&lt;$B$6,COUNTIF($C$32:$C64,AK65)&lt;IF($B$3="Stage 1",MIN($B$6,MAX(1,INT($B$5/$B$11))),IF(AND($B$3="Stage 3",$B$5=20,$B$11&gt;11),1,IF(AND($B$3="Stage 3",OR($B$15="Year 10-11-12 Girls"),$B$5&gt;20),MAX(2,Setup!$B$14),Setup!$B$14)))))</f>
        <v>0</v>
      </c>
      <c r="BM65" s="20" t="b">
        <f>IF(AL65="",FALSE,AND(AL65&lt;&gt;IF(AND($B$3="Stage 3",OR($B$15="Year 8 Boys",$B$15="Year 9 Boys",$B$15="Year 10-11 Boys"),$B$8="One Keeper"),$E$4,""),AL65&lt;&gt;$B65,AL65&lt;&gt;$C64,IFERROR(INDEX($E$18:$E$30,MATCH(AL65,$B$18:$B$30,0)),"No")="Yes",COUNTIF($C$32:$C64,AL65)&lt;$B$6,COUNTIF($C$32:$C64,AL65)&lt;IF($B$3="Stage 1",MIN($B$6,MAX(1,INT($B$5/$B$11))),IF(AND($B$3="Stage 3",$B$5=20,$B$11&gt;11),1,IF(AND($B$3="Stage 3",OR($B$15="Year 10-11-12 Girls"),$B$5&gt;20),MAX(2,Setup!$B$14),Setup!$B$14)))))</f>
        <v>0</v>
      </c>
      <c r="BN65" s="20" t="b">
        <f>IF(AM65="",FALSE,AND(AM65&lt;&gt;IF(AND($B$3="Stage 3",OR($B$15="Year 8 Boys",$B$15="Year 9 Boys",$B$15="Year 10-11 Boys"),$B$8="One Keeper"),$E$4,""),AM65&lt;&gt;$B65,AM65&lt;&gt;$C64,IFERROR(INDEX($E$18:$E$30,MATCH(AM65,$B$18:$B$30,0)),"No")="Yes",COUNTIF($C$32:$C64,AM65)&lt;$B$6,COUNTIF($C$32:$C64,AM65)&lt;IF($B$3="Stage 1",MIN($B$6,MAX(1,INT($B$5/$B$11))),IF(AND($B$3="Stage 3",$B$5=20,$B$11&gt;11),1,IF(AND($B$3="Stage 3",OR($B$15="Year 10-11-12 Girls"),$B$5&gt;20),MAX(2,Setup!$B$14),Setup!$B$14)))))</f>
        <v>0</v>
      </c>
      <c r="BO65" s="20" t="b">
        <f>IF(AN65="",FALSE,AND(AN65&lt;&gt;IF(AND($B$3="Stage 3",OR($B$15="Year 8 Boys",$B$15="Year 9 Boys",$B$15="Year 10-11 Boys"),$B$8="One Keeper"),$E$4,""),AN65&lt;&gt;$B65,AN65&lt;&gt;$C64,IFERROR(INDEX($E$18:$E$30,MATCH(AN65,$B$18:$B$30,0)),"No")="Yes",COUNTIF($C$32:$C64,AN65)&lt;$B$6,COUNTIF($C$32:$C64,AN65)&lt;IF($B$3="Stage 1",MIN($B$6,MAX(1,INT($B$5/$B$11))),IF(AND($B$3="Stage 3",$B$5=20,$B$11&gt;11),1,IF(AND($B$3="Stage 3",OR($B$15="Year 10-11-12 Girls"),$B$5&gt;20),MAX(2,Setup!$B$14),Setup!$B$14)))))</f>
        <v>0</v>
      </c>
      <c r="BP65" s="20" t="b">
        <f>IF(AO65="",FALSE,AND(AO65&lt;&gt;IF(AND($B$3="Stage 3",OR($B$15="Year 8 Boys",$B$15="Year 9 Boys",$B$15="Year 10-11 Boys"),$B$8="One Keeper"),$E$4,""),AO65&lt;&gt;$B65,AO65&lt;&gt;$C64,IFERROR(INDEX($E$18:$E$30,MATCH(AO65,$B$18:$B$30,0)),"No")="Yes",COUNTIF($C$32:$C64,AO65)&lt;$B$6,COUNTIF($C$32:$C64,AO65)&lt;IF($B$3="Stage 1",MIN($B$6,MAX(1,INT($B$5/$B$11))),IF(AND($B$3="Stage 3",$B$5=20,$B$11&gt;11),1,IF(AND($B$3="Stage 3",OR($B$15="Year 10-11-12 Girls"),$B$5&gt;20),MAX(2,Setup!$B$14),Setup!$B$14)))))</f>
        <v>0</v>
      </c>
      <c r="BQ65" s="20" t="b">
        <f>IF(AP65="",FALSE,AND(AP65&lt;&gt;IF(AND($B$3="Stage 3",OR($B$15="Year 8 Boys",$B$15="Year 9 Boys",$B$15="Year 10-11 Boys"),$B$8="One Keeper"),$E$4,""),AP65&lt;&gt;$B65,AP65&lt;&gt;$C64,IFERROR(INDEX($E$18:$E$30,MATCH(AP65,$B$18:$B$30,0)),"No")="Yes",COUNTIF($C$32:$C64,AP65)&lt;$B$6,COUNTIF($C$32:$C64,AP65)&lt;IF($B$3="Stage 1",MIN($B$6,MAX(1,INT($B$5/$B$11))),IF(AND($B$3="Stage 3",$B$5=20,$B$11&gt;11),1,IF(AND($B$3="Stage 3",OR($B$15="Year 10-11-12 Girls"),$B$5&gt;20),MAX(2,Setup!$B$14),Setup!$B$14)))))</f>
        <v>0</v>
      </c>
      <c r="BR65" s="20" t="b">
        <f>IF(AQ65="",FALSE,AND(AQ65&lt;&gt;IF(AND($B$3="Stage 3",OR($B$15="Year 8 Boys",$B$15="Year 9 Boys",$B$15="Year 10-11 Boys"),$B$8="One Keeper"),$E$4,""),AQ65&lt;&gt;$B65,AQ65&lt;&gt;$C64,IFERROR(INDEX($E$18:$E$30,MATCH(AQ65,$B$18:$B$30,0)),"No")="Yes",COUNTIF($C$32:$C64,AQ65)&lt;$B$6,COUNTIF($C$32:$C64,AQ65)&lt;IF($B$3="Stage 1",MIN($B$6,MAX(1,INT($B$5/$B$11))),IF(AND($B$3="Stage 3",$B$5=20,$B$11&gt;11),1,IF(AND($B$3="Stage 3",OR($B$15="Year 10-11-12 Girls"),$B$5&gt;20),MAX(2,Setup!$B$14),Setup!$B$14)))))</f>
        <v>0</v>
      </c>
      <c r="BS65" s="20" t="b">
        <f>IF(AR65="",FALSE,AND(AR65&lt;&gt;IF(AND($B$3="Stage 3",OR($B$15="Year 8 Boys",$B$15="Year 9 Boys",$B$15="Year 10-11 Boys"),$B$8="One Keeper"),$E$4,""),AR65&lt;&gt;$B65,AR65&lt;&gt;$C64,IFERROR(INDEX($E$18:$E$30,MATCH(AR65,$B$18:$B$30,0)),"No")="Yes",COUNTIF($C$32:$C64,AR65)&lt;$B$6,COUNTIF($C$32:$C64,AR65)&lt;IF($B$3="Stage 1",MIN($B$6,MAX(1,INT($B$5/$B$11))),IF(AND($B$3="Stage 3",$B$5=20,$B$11&gt;11),1,IF(AND($B$3="Stage 3",OR($B$15="Year 10-11-12 Girls"),$B$5&gt;20),MAX(2,Setup!$B$14),Setup!$B$14)))))</f>
        <v>0</v>
      </c>
      <c r="BT65" s="20" t="b">
        <f>IF(AS65="",FALSE,AND(AS65&lt;&gt;IF(AND($B$3="Stage 3",OR($B$15="Year 8 Boys",$B$15="Year 9 Boys",$B$15="Year 10-11 Boys"),$B$8="One Keeper"),$E$4,""),AS65&lt;&gt;$B65,AS65&lt;&gt;$C64,IFERROR(INDEX($E$18:$E$30,MATCH(AS65,$B$18:$B$30,0)),"No")="Yes",COUNTIF($C$32:$C64,AS65)&lt;$B$6,COUNTIF($C$32:$C64,AS65)&lt;IF($B$3="Stage 1",MIN($B$6,MAX(1,INT($B$5/$B$11))),IF(AND($B$3="Stage 3",$B$5=20,$B$11&gt;11),1,IF(AND($B$3="Stage 3",OR($B$15="Year 10-11-12 Girls"),$B$5&gt;20),MAX(2,Setup!$B$14),Setup!$B$14)))))</f>
        <v>0</v>
      </c>
      <c r="BU65" s="20" t="b">
        <f>IF(AT65="",FALSE,AND(AT65&lt;&gt;IF(AND($B$3="Stage 3",OR($B$15="Year 8 Boys",$B$15="Year 9 Boys",$B$15="Year 10-11 Boys"),$B$8="One Keeper"),$E$4,""),AT65&lt;&gt;$B65,AT65&lt;&gt;$C64,IFERROR(INDEX($E$18:$E$30,MATCH(AT65,$B$18:$B$30,0)),"No")="Yes",COUNTIF($C$32:$C64,AT65)&lt;$B$6,COUNTIF($C$32:$C64,AT65)&lt;IF($B$3="Stage 1",MIN($B$6,MAX(1,INT($B$5/$B$11))),IF(AND($B$3="Stage 3",$B$5=20,$B$11&gt;11),1,IF(AND($B$3="Stage 3",OR($B$15="Year 10-11-12 Girls"),$B$5&gt;20),MAX(2,Setup!$B$14),Setup!$B$14)))))</f>
        <v>0</v>
      </c>
      <c r="BV65" s="20" t="b">
        <f>IF(AU65="",FALSE,AND(AU65&lt;&gt;IF(AND($B$3="Stage 3",OR($B$15="Year 8 Boys",$B$15="Year 9 Boys",$B$15="Year 10-11 Boys"),$B$8="One Keeper"),$E$4,""),AU65&lt;&gt;$B65,AU65&lt;&gt;$C64,IFERROR(INDEX($E$18:$E$30,MATCH(AU65,$B$18:$B$30,0)),"No")="Yes",COUNTIF($C$32:$C64,AU65)&lt;$B$6,COUNTIF($C$32:$C64,AU65)&lt;IF($B$3="Stage 1",MIN($B$6,MAX(1,INT($B$5/$B$11))),IF(AND($B$3="Stage 3",$B$5=20,$B$11&gt;11),1,IF(AND($B$3="Stage 3",OR($B$15="Year 10-11-12 Girls"),$B$5&gt;20),MAX(2,Setup!$B$14),Setup!$B$14)))))</f>
        <v>0</v>
      </c>
      <c r="BW65" s="20"/>
      <c r="BX65" s="20"/>
      <c r="BY65" s="20"/>
      <c r="BZ65" s="20"/>
      <c r="CA65" s="20"/>
      <c r="CB65" s="20"/>
      <c r="CC65" s="20"/>
      <c r="CD65" s="20"/>
      <c r="CE65" s="20"/>
      <c r="CF65" s="20"/>
      <c r="CG65" s="20"/>
      <c r="CH65" s="20"/>
      <c r="CI65" s="20"/>
      <c r="CJ65" s="20"/>
      <c r="CK65" s="20"/>
    </row>
    <row r="66" spans="1:89" ht="15" customHeight="1">
      <c r="A66" s="18">
        <v>35</v>
      </c>
      <c r="B66" s="18" t="str">
        <f t="shared" si="5"/>
        <v/>
      </c>
      <c r="C66" s="18" t="str">
        <f t="shared" si="6"/>
        <v/>
      </c>
      <c r="D66" s="18">
        <f t="shared" si="7"/>
        <v>8</v>
      </c>
      <c r="E66" s="18" t="str">
        <f>IF($C66="","",COUNTIF($C$32:C66,$C66))</f>
        <v/>
      </c>
      <c r="F66" s="18" t="str">
        <f t="shared" si="8"/>
        <v/>
      </c>
      <c r="T66" s="20" t="str">
        <f t="shared" si="15"/>
        <v/>
      </c>
      <c r="U66" s="20" t="b">
        <f>IF(OR($B$3="Stage 2",AND($B$3="Stage 3",OR($B$15="Year 10-11-12 Girls"))),(IF(AND($P$18&lt;&gt;"",$P$18&lt;&gt;$E$4,COUNTIF($C$32:$C65,$P$18)&gt;=2),1,0)+IF(AND($P$19&lt;&gt;"",$P$19&lt;&gt;$E$4,COUNTIF($C$32:$C65,$P$19)&gt;=2),1,0)+IF(AND($P$20&lt;&gt;"",$P$20&lt;&gt;$E$4,COUNTIF($C$32:$C65,$P$20)&gt;=2),1,0)+IF(AND($P$21&lt;&gt;"",$P$21&lt;&gt;$E$4,COUNTIF($C$32:$C65,$P$21)&gt;=2),1,0)+IF(AND($P$22&lt;&gt;"",$P$22&lt;&gt;$E$4,COUNTIF($C$32:$C65,$P$22)&gt;=2),1,0)+IF(AND($P$23&lt;&gt;"",$P$23&lt;&gt;$E$4,COUNTIF($C$32:$C65,$P$23)&gt;=2),1,0)+IF(AND($P$24&lt;&gt;"",$P$24&lt;&gt;$E$4,COUNTIF($C$32:$C65,$P$24)&gt;=2),1,0)+IF(AND($P$25&lt;&gt;"",$P$25&lt;&gt;$E$4,COUNTIF($C$32:$C65,$P$25)&gt;=2),1,0)+IF(AND($P$26&lt;&gt;"",$P$26&lt;&gt;$E$4,COUNTIF($C$32:$C65,$P$26)&gt;=2),1,0)+IF(AND($P$27&lt;&gt;"",$P$27&lt;&gt;$E$4,COUNTIF($C$32:$C65,$P$27)&gt;=2),1,0)+IF(AND($P$28&lt;&gt;"",$P$28&lt;&gt;$E$4,COUNTIF($C$32:$C65,$P$28)&gt;=2),1,0)+IF(AND($P$29&lt;&gt;"",$P$29&lt;&gt;$E$4,COUNTIF($C$32:$C65,$P$29)&gt;=2),1,0)+IF(AND($P$30&lt;&gt;"",$P$30&lt;&gt;$E$4,COUNTIF($C$32:$C65,$P$30)&gt;=2),1,0))&gt;=MAX(0,$B$11-1),IF(AND($B$3="Stage 3",OR($B$15="Year 8 Boys",$B$15="Year 9 Boys",$B$15="Year 10-11 Boys")),(IF(AND($P$18&lt;&gt;"",COUNTIF($C$32:$C65,$P$18)&gt;=2),1,0)+IF(AND($P$19&lt;&gt;"",COUNTIF($C$32:$C65,$P$19)&gt;=2),1,0)+IF(AND($P$20&lt;&gt;"",COUNTIF($C$32:$C65,$P$20)&gt;=2),1,0)+IF(AND($P$21&lt;&gt;"",COUNTIF($C$32:$C65,$P$21)&gt;=2),1,0)+IF(AND($P$22&lt;&gt;"",COUNTIF($C$32:$C65,$P$22)&gt;=2),1,0)+IF(AND($P$23&lt;&gt;"",COUNTIF($C$32:$C65,$P$23)&gt;=2),1,0)+IF(AND($P$24&lt;&gt;"",COUNTIF($C$32:$C65,$P$24)&gt;=2),1,0)+IF(AND($P$25&lt;&gt;"",COUNTIF($C$32:$C65,$P$25)&gt;=2),1,0)+IF(AND($P$26&lt;&gt;"",COUNTIF($C$32:$C65,$P$26)&gt;=2),1,0)+IF(AND($P$27&lt;&gt;"",COUNTIF($C$32:$C65,$P$27)&gt;=2),1,0)+IF(AND($P$28&lt;&gt;"",COUNTIF($C$32:$C65,$P$28)&gt;=2),1,0)+IF(AND($P$29&lt;&gt;"",COUNTIF($C$32:$C65,$P$29)&gt;=2),1,0)+IF(AND($P$30&lt;&gt;"",COUNTIF($C$32:$C65,$P$30)&gt;=2),1,0))&gt;=7,TRUE))</f>
        <v>1</v>
      </c>
      <c r="V66" s="20" t="str">
        <f t="shared" si="32"/>
        <v/>
      </c>
      <c r="W66" s="20" t="str">
        <f t="shared" si="32"/>
        <v/>
      </c>
      <c r="X66" s="20" t="str">
        <f t="shared" si="32"/>
        <v/>
      </c>
      <c r="Y66" s="20" t="str">
        <f t="shared" si="32"/>
        <v/>
      </c>
      <c r="Z66" s="20" t="str">
        <f t="shared" si="32"/>
        <v/>
      </c>
      <c r="AA66" s="20" t="str">
        <f t="shared" si="32"/>
        <v/>
      </c>
      <c r="AB66" s="20" t="str">
        <f t="shared" si="32"/>
        <v/>
      </c>
      <c r="AC66" s="20" t="str">
        <f t="shared" si="32"/>
        <v/>
      </c>
      <c r="AD66" s="20" t="str">
        <f t="shared" si="32"/>
        <v/>
      </c>
      <c r="AE66" s="20" t="str">
        <f t="shared" si="32"/>
        <v/>
      </c>
      <c r="AF66" s="20" t="str">
        <f t="shared" si="32"/>
        <v/>
      </c>
      <c r="AG66" s="20" t="str">
        <f t="shared" si="32"/>
        <v/>
      </c>
      <c r="AH66" s="20" t="str">
        <f t="shared" si="32"/>
        <v/>
      </c>
      <c r="AI66" s="20" t="str">
        <f t="shared" si="17"/>
        <v/>
      </c>
      <c r="AJ66" s="20" t="str">
        <f t="shared" si="18"/>
        <v/>
      </c>
      <c r="AK66" s="20" t="str">
        <f t="shared" si="19"/>
        <v/>
      </c>
      <c r="AL66" s="20" t="str">
        <f t="shared" si="20"/>
        <v/>
      </c>
      <c r="AM66" s="20" t="str">
        <f t="shared" si="21"/>
        <v/>
      </c>
      <c r="AN66" s="20" t="str">
        <f t="shared" si="22"/>
        <v/>
      </c>
      <c r="AO66" s="20" t="str">
        <f t="shared" si="23"/>
        <v/>
      </c>
      <c r="AP66" s="20" t="str">
        <f t="shared" si="24"/>
        <v/>
      </c>
      <c r="AQ66" s="20" t="str">
        <f t="shared" si="25"/>
        <v/>
      </c>
      <c r="AR66" s="20" t="str">
        <f t="shared" si="26"/>
        <v/>
      </c>
      <c r="AS66" s="20" t="str">
        <f t="shared" si="27"/>
        <v/>
      </c>
      <c r="AT66" s="20" t="str">
        <f t="shared" si="28"/>
        <v/>
      </c>
      <c r="AU66" s="20" t="str">
        <f t="shared" si="29"/>
        <v/>
      </c>
      <c r="AV66" s="20" t="b">
        <f>IF(AI66="",FALSE,AND(AI66&lt;&gt;$B66,AI66&lt;&gt;$C65,IFERROR(INDEX($E$18:$E$30,MATCH(AI66,$B$18:$B$30,0)),"No")="Yes",IF(AND(OR($B$3="Stage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Girls"))),$B$5&gt;20),MIN(3,MAX(2,Setup!$B$14)),2))*2),AI66=$E$5,IF(AND(OR($B$3="Stage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Girls"))),$B$5&gt;20),MIN(3,MAX(2,Setup!$B$14)),2))*2-1))),AI66=$E$4,TRUE)),COUNTIF($C$32:$C65,AI66)&lt;$B$6,IF($BI66,COUNTIF($C$32:$C65,AI66)&lt;IF($B$3="Stage 1",MIN($B$6,MAX(1,INT($B$5/$B$11))),IF(AND($B$3="Stage 3",$B$5=20,$B$11&gt;11),1,IF(AND($B$3="Stage 3",OR($B$15="Year 10-11-12 Girls"),$B$5&gt;20),MAX(2,Setup!$B$14),Setup!$B$14))),IF(AND($B$3&lt;&gt;"Stage 2",$B$3&lt;&gt;"Stage 3"),TRUE,IF($U66,TRUE,COUNTIF($C$32:$C65,AI66)&lt;IF(AND($B$3="Stage 2",$B$5=20,AI66=$E$5,$A66&lt;=IF($B$8="One Keeper",$B$5,$B$8)),2,IF(AND(OR($B$3="Stage 2",AND($B$3="Stage 3",OR($B$15="Year 10-11-12 Girls"))),AI66=$E$5,$A66&lt;=IF($B$8="One Keeper",$B$5,$B$8)),3,$B$9)))))))</f>
        <v>0</v>
      </c>
      <c r="AW66" s="20" t="b">
        <f>IF(AJ66="",FALSE,AND(AJ66&lt;&gt;$B66,AJ66&lt;&gt;$C65,IFERROR(INDEX($E$18:$E$30,MATCH(AJ66,$B$18:$B$30,0)),"No")="Yes",IF(AND(OR($B$3="Stage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Girls"))),$B$5&gt;20),MIN(3,MAX(2,Setup!$B$14)),2))*2),AJ66=$E$5,IF(AND(OR($B$3="Stage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Girls"))),$B$5&gt;20),MIN(3,MAX(2,Setup!$B$14)),2))*2-1))),AJ66=$E$4,TRUE)),COUNTIF($C$32:$C65,AJ66)&lt;$B$6,IF($BI66,COUNTIF($C$32:$C65,AJ66)&lt;IF($B$3="Stage 1",MIN($B$6,MAX(1,INT($B$5/$B$11))),IF(AND($B$3="Stage 3",$B$5=20,$B$11&gt;11),1,IF(AND($B$3="Stage 3",OR($B$15="Year 10-11-12 Girls"),$B$5&gt;20),MAX(2,Setup!$B$14),Setup!$B$14))),IF(AND($B$3&lt;&gt;"Stage 2",$B$3&lt;&gt;"Stage 3"),TRUE,IF($U66,TRUE,COUNTIF($C$32:$C65,AJ66)&lt;IF(AND($B$3="Stage 2",$B$5=20,AJ66=$E$5,$A66&lt;=IF($B$8="One Keeper",$B$5,$B$8)),2,IF(AND(OR($B$3="Stage 2",AND($B$3="Stage 3",OR($B$15="Year 10-11-12 Girls"))),AJ66=$E$5,$A66&lt;=IF($B$8="One Keeper",$B$5,$B$8)),3,$B$9)))))))</f>
        <v>0</v>
      </c>
      <c r="AX66" s="20" t="b">
        <f>IF(AK66="",FALSE,AND(AK66&lt;&gt;$B66,AK66&lt;&gt;$C65,IFERROR(INDEX($E$18:$E$30,MATCH(AK66,$B$18:$B$30,0)),"No")="Yes",IF(AND(OR($B$3="Stage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Girls"))),$B$5&gt;20),MIN(3,MAX(2,Setup!$B$14)),2))*2),AK66=$E$5,IF(AND(OR($B$3="Stage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Girls"))),$B$5&gt;20),MIN(3,MAX(2,Setup!$B$14)),2))*2-1))),AK66=$E$4,TRUE)),COUNTIF($C$32:$C65,AK66)&lt;$B$6,IF($BI66,COUNTIF($C$32:$C65,AK66)&lt;IF($B$3="Stage 1",MIN($B$6,MAX(1,INT($B$5/$B$11))),IF(AND($B$3="Stage 3",$B$5=20,$B$11&gt;11),1,IF(AND($B$3="Stage 3",OR($B$15="Year 10-11-12 Girls"),$B$5&gt;20),MAX(2,Setup!$B$14),Setup!$B$14))),IF(AND($B$3&lt;&gt;"Stage 2",$B$3&lt;&gt;"Stage 3"),TRUE,IF($U66,TRUE,COUNTIF($C$32:$C65,AK66)&lt;IF(AND($B$3="Stage 2",$B$5=20,AK66=$E$5,$A66&lt;=IF($B$8="One Keeper",$B$5,$B$8)),2,IF(AND(OR($B$3="Stage 2",AND($B$3="Stage 3",OR($B$15="Year 10-11-12 Girls"))),AK66=$E$5,$A66&lt;=IF($B$8="One Keeper",$B$5,$B$8)),3,$B$9)))))))</f>
        <v>0</v>
      </c>
      <c r="AY66" s="20" t="b">
        <f>IF(AL66="",FALSE,AND(AL66&lt;&gt;$B66,AL66&lt;&gt;$C65,IFERROR(INDEX($E$18:$E$30,MATCH(AL66,$B$18:$B$30,0)),"No")="Yes",IF(AND(OR($B$3="Stage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Girls"))),$B$5&gt;20),MIN(3,MAX(2,Setup!$B$14)),2))*2),AL66=$E$5,IF(AND(OR($B$3="Stage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Girls"))),$B$5&gt;20),MIN(3,MAX(2,Setup!$B$14)),2))*2-1))),AL66=$E$4,TRUE)),COUNTIF($C$32:$C65,AL66)&lt;$B$6,IF($BI66,COUNTIF($C$32:$C65,AL66)&lt;IF($B$3="Stage 1",MIN($B$6,MAX(1,INT($B$5/$B$11))),IF(AND($B$3="Stage 3",$B$5=20,$B$11&gt;11),1,IF(AND($B$3="Stage 3",OR($B$15="Year 10-11-12 Girls"),$B$5&gt;20),MAX(2,Setup!$B$14),Setup!$B$14))),IF(AND($B$3&lt;&gt;"Stage 2",$B$3&lt;&gt;"Stage 3"),TRUE,IF($U66,TRUE,COUNTIF($C$32:$C65,AL66)&lt;IF(AND($B$3="Stage 2",$B$5=20,AL66=$E$5,$A66&lt;=IF($B$8="One Keeper",$B$5,$B$8)),2,IF(AND(OR($B$3="Stage 2",AND($B$3="Stage 3",OR($B$15="Year 10-11-12 Girls"))),AL66=$E$5,$A66&lt;=IF($B$8="One Keeper",$B$5,$B$8)),3,$B$9)))))))</f>
        <v>0</v>
      </c>
      <c r="AZ66" s="20" t="b">
        <f>IF(AM66="",FALSE,AND(AM66&lt;&gt;$B66,AM66&lt;&gt;$C65,IFERROR(INDEX($E$18:$E$30,MATCH(AM66,$B$18:$B$30,0)),"No")="Yes",IF(AND(OR($B$3="Stage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Girls"))),$B$5&gt;20),MIN(3,MAX(2,Setup!$B$14)),2))*2),AM66=$E$5,IF(AND(OR($B$3="Stage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Girls"))),$B$5&gt;20),MIN(3,MAX(2,Setup!$B$14)),2))*2-1))),AM66=$E$4,TRUE)),COUNTIF($C$32:$C65,AM66)&lt;$B$6,IF($BI66,COUNTIF($C$32:$C65,AM66)&lt;IF($B$3="Stage 1",MIN($B$6,MAX(1,INT($B$5/$B$11))),IF(AND($B$3="Stage 3",$B$5=20,$B$11&gt;11),1,IF(AND($B$3="Stage 3",OR($B$15="Year 10-11-12 Girls"),$B$5&gt;20),MAX(2,Setup!$B$14),Setup!$B$14))),IF(AND($B$3&lt;&gt;"Stage 2",$B$3&lt;&gt;"Stage 3"),TRUE,IF($U66,TRUE,COUNTIF($C$32:$C65,AM66)&lt;IF(AND($B$3="Stage 2",$B$5=20,AM66=$E$5,$A66&lt;=IF($B$8="One Keeper",$B$5,$B$8)),2,IF(AND(OR($B$3="Stage 2",AND($B$3="Stage 3",OR($B$15="Year 10-11-12 Girls"))),AM66=$E$5,$A66&lt;=IF($B$8="One Keeper",$B$5,$B$8)),3,$B$9)))))))</f>
        <v>0</v>
      </c>
      <c r="BA66" s="20" t="b">
        <f>IF(AN66="",FALSE,AND(AN66&lt;&gt;$B66,AN66&lt;&gt;$C65,IFERROR(INDEX($E$18:$E$30,MATCH(AN66,$B$18:$B$30,0)),"No")="Yes",IF(AND(OR($B$3="Stage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Girls"))),$B$5&gt;20),MIN(3,MAX(2,Setup!$B$14)),2))*2),AN66=$E$5,IF(AND(OR($B$3="Stage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Girls"))),$B$5&gt;20),MIN(3,MAX(2,Setup!$B$14)),2))*2-1))),AN66=$E$4,TRUE)),COUNTIF($C$32:$C65,AN66)&lt;$B$6,IF($BI66,COUNTIF($C$32:$C65,AN66)&lt;IF($B$3="Stage 1",MIN($B$6,MAX(1,INT($B$5/$B$11))),IF(AND($B$3="Stage 3",$B$5=20,$B$11&gt;11),1,IF(AND($B$3="Stage 3",OR($B$15="Year 10-11-12 Girls"),$B$5&gt;20),MAX(2,Setup!$B$14),Setup!$B$14))),IF(AND($B$3&lt;&gt;"Stage 2",$B$3&lt;&gt;"Stage 3"),TRUE,IF($U66,TRUE,COUNTIF($C$32:$C65,AN66)&lt;IF(AND($B$3="Stage 2",$B$5=20,AN66=$E$5,$A66&lt;=IF($B$8="One Keeper",$B$5,$B$8)),2,IF(AND(OR($B$3="Stage 2",AND($B$3="Stage 3",OR($B$15="Year 10-11-12 Girls"))),AN66=$E$5,$A66&lt;=IF($B$8="One Keeper",$B$5,$B$8)),3,$B$9)))))))</f>
        <v>0</v>
      </c>
      <c r="BB66" s="20" t="b">
        <f>IF(AO66="",FALSE,AND(AO66&lt;&gt;$B66,AO66&lt;&gt;$C65,IFERROR(INDEX($E$18:$E$30,MATCH(AO66,$B$18:$B$30,0)),"No")="Yes",IF(AND(OR($B$3="Stage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Girls"))),$B$5&gt;20),MIN(3,MAX(2,Setup!$B$14)),2))*2),AO66=$E$5,IF(AND(OR($B$3="Stage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Girls"))),$B$5&gt;20),MIN(3,MAX(2,Setup!$B$14)),2))*2-1))),AO66=$E$4,TRUE)),COUNTIF($C$32:$C65,AO66)&lt;$B$6,IF($BI66,COUNTIF($C$32:$C65,AO66)&lt;IF($B$3="Stage 1",MIN($B$6,MAX(1,INT($B$5/$B$11))),IF(AND($B$3="Stage 3",$B$5=20,$B$11&gt;11),1,IF(AND($B$3="Stage 3",OR($B$15="Year 10-11-12 Girls"),$B$5&gt;20),MAX(2,Setup!$B$14),Setup!$B$14))),IF(AND($B$3&lt;&gt;"Stage 2",$B$3&lt;&gt;"Stage 3"),TRUE,IF($U66,TRUE,COUNTIF($C$32:$C65,AO66)&lt;IF(AND($B$3="Stage 2",$B$5=20,AO66=$E$5,$A66&lt;=IF($B$8="One Keeper",$B$5,$B$8)),2,IF(AND(OR($B$3="Stage 2",AND($B$3="Stage 3",OR($B$15="Year 10-11-12 Girls"))),AO66=$E$5,$A66&lt;=IF($B$8="One Keeper",$B$5,$B$8)),3,$B$9)))))))</f>
        <v>0</v>
      </c>
      <c r="BC66" s="20" t="b">
        <f>IF(AP66="",FALSE,AND(AP66&lt;&gt;$B66,AP66&lt;&gt;$C65,IFERROR(INDEX($E$18:$E$30,MATCH(AP66,$B$18:$B$30,0)),"No")="Yes",IF(AND(OR($B$3="Stage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Girls"))),$B$5&gt;20),MIN(3,MAX(2,Setup!$B$14)),2))*2),AP66=$E$5,IF(AND(OR($B$3="Stage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Girls"))),$B$5&gt;20),MIN(3,MAX(2,Setup!$B$14)),2))*2-1))),AP66=$E$4,TRUE)),COUNTIF($C$32:$C65,AP66)&lt;$B$6,IF($BI66,COUNTIF($C$32:$C65,AP66)&lt;IF($B$3="Stage 1",MIN($B$6,MAX(1,INT($B$5/$B$11))),IF(AND($B$3="Stage 3",$B$5=20,$B$11&gt;11),1,IF(AND($B$3="Stage 3",OR($B$15="Year 10-11-12 Girls"),$B$5&gt;20),MAX(2,Setup!$B$14),Setup!$B$14))),IF(AND($B$3&lt;&gt;"Stage 2",$B$3&lt;&gt;"Stage 3"),TRUE,IF($U66,TRUE,COUNTIF($C$32:$C65,AP66)&lt;IF(AND($B$3="Stage 2",$B$5=20,AP66=$E$5,$A66&lt;=IF($B$8="One Keeper",$B$5,$B$8)),2,IF(AND(OR($B$3="Stage 2",AND($B$3="Stage 3",OR($B$15="Year 10-11-12 Girls"))),AP66=$E$5,$A66&lt;=IF($B$8="One Keeper",$B$5,$B$8)),3,$B$9)))))))</f>
        <v>0</v>
      </c>
      <c r="BD66" s="20" t="b">
        <f>IF(AQ66="",FALSE,AND(AQ66&lt;&gt;$B66,AQ66&lt;&gt;$C65,IFERROR(INDEX($E$18:$E$30,MATCH(AQ66,$B$18:$B$30,0)),"No")="Yes",IF(AND(OR($B$3="Stage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Girls"))),$B$5&gt;20),MIN(3,MAX(2,Setup!$B$14)),2))*2),AQ66=$E$5,IF(AND(OR($B$3="Stage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Girls"))),$B$5&gt;20),MIN(3,MAX(2,Setup!$B$14)),2))*2-1))),AQ66=$E$4,TRUE)),COUNTIF($C$32:$C65,AQ66)&lt;$B$6,IF($BI66,COUNTIF($C$32:$C65,AQ66)&lt;IF($B$3="Stage 1",MIN($B$6,MAX(1,INT($B$5/$B$11))),IF(AND($B$3="Stage 3",$B$5=20,$B$11&gt;11),1,IF(AND($B$3="Stage 3",OR($B$15="Year 10-11-12 Girls"),$B$5&gt;20),MAX(2,Setup!$B$14),Setup!$B$14))),IF(AND($B$3&lt;&gt;"Stage 2",$B$3&lt;&gt;"Stage 3"),TRUE,IF($U66,TRUE,COUNTIF($C$32:$C65,AQ66)&lt;IF(AND($B$3="Stage 2",$B$5=20,AQ66=$E$5,$A66&lt;=IF($B$8="One Keeper",$B$5,$B$8)),2,IF(AND(OR($B$3="Stage 2",AND($B$3="Stage 3",OR($B$15="Year 10-11-12 Girls"))),AQ66=$E$5,$A66&lt;=IF($B$8="One Keeper",$B$5,$B$8)),3,$B$9)))))))</f>
        <v>0</v>
      </c>
      <c r="BE66" s="20" t="b">
        <f>IF(AR66="",FALSE,AND(AR66&lt;&gt;$B66,AR66&lt;&gt;$C65,IFERROR(INDEX($E$18:$E$30,MATCH(AR66,$B$18:$B$30,0)),"No")="Yes",IF(AND(OR($B$3="Stage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Girls"))),$B$5&gt;20),MIN(3,MAX(2,Setup!$B$14)),2))*2),AR66=$E$5,IF(AND(OR($B$3="Stage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Girls"))),$B$5&gt;20),MIN(3,MAX(2,Setup!$B$14)),2))*2-1))),AR66=$E$4,TRUE)),COUNTIF($C$32:$C65,AR66)&lt;$B$6,IF($BI66,COUNTIF($C$32:$C65,AR66)&lt;IF($B$3="Stage 1",MIN($B$6,MAX(1,INT($B$5/$B$11))),IF(AND($B$3="Stage 3",$B$5=20,$B$11&gt;11),1,IF(AND($B$3="Stage 3",OR($B$15="Year 10-11-12 Girls"),$B$5&gt;20),MAX(2,Setup!$B$14),Setup!$B$14))),IF(AND($B$3&lt;&gt;"Stage 2",$B$3&lt;&gt;"Stage 3"),TRUE,IF($U66,TRUE,COUNTIF($C$32:$C65,AR66)&lt;IF(AND($B$3="Stage 2",$B$5=20,AR66=$E$5,$A66&lt;=IF($B$8="One Keeper",$B$5,$B$8)),2,IF(AND(OR($B$3="Stage 2",AND($B$3="Stage 3",OR($B$15="Year 10-11-12 Girls"))),AR66=$E$5,$A66&lt;=IF($B$8="One Keeper",$B$5,$B$8)),3,$B$9)))))))</f>
        <v>0</v>
      </c>
      <c r="BF66" s="20" t="b">
        <f>IF(AS66="",FALSE,AND(AS66&lt;&gt;$B66,AS66&lt;&gt;$C65,IFERROR(INDEX($E$18:$E$30,MATCH(AS66,$B$18:$B$30,0)),"No")="Yes",IF(AND(OR($B$3="Stage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Girls"))),$B$5&gt;20),MIN(3,MAX(2,Setup!$B$14)),2))*2),AS66=$E$5,IF(AND(OR($B$3="Stage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Girls"))),$B$5&gt;20),MIN(3,MAX(2,Setup!$B$14)),2))*2-1))),AS66=$E$4,TRUE)),COUNTIF($C$32:$C65,AS66)&lt;$B$6,IF($BI66,COUNTIF($C$32:$C65,AS66)&lt;IF($B$3="Stage 1",MIN($B$6,MAX(1,INT($B$5/$B$11))),IF(AND($B$3="Stage 3",$B$5=20,$B$11&gt;11),1,IF(AND($B$3="Stage 3",OR($B$15="Year 10-11-12 Girls"),$B$5&gt;20),MAX(2,Setup!$B$14),Setup!$B$14))),IF(AND($B$3&lt;&gt;"Stage 2",$B$3&lt;&gt;"Stage 3"),TRUE,IF($U66,TRUE,COUNTIF($C$32:$C65,AS66)&lt;IF(AND($B$3="Stage 2",$B$5=20,AS66=$E$5,$A66&lt;=IF($B$8="One Keeper",$B$5,$B$8)),2,IF(AND(OR($B$3="Stage 2",AND($B$3="Stage 3",OR($B$15="Year 10-11-12 Girls"))),AS66=$E$5,$A66&lt;=IF($B$8="One Keeper",$B$5,$B$8)),3,$B$9)))))))</f>
        <v>0</v>
      </c>
      <c r="BG66" s="20" t="b">
        <f>IF(AT66="",FALSE,AND(AT66&lt;&gt;$B66,AT66&lt;&gt;$C65,IFERROR(INDEX($E$18:$E$30,MATCH(AT66,$B$18:$B$30,0)),"No")="Yes",IF(AND(OR($B$3="Stage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Girls"))),$B$5&gt;20),MIN(3,MAX(2,Setup!$B$14)),2))*2),AT66=$E$5,IF(AND(OR($B$3="Stage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Girls"))),$B$5&gt;20),MIN(3,MAX(2,Setup!$B$14)),2))*2-1))),AT66=$E$4,TRUE)),COUNTIF($C$32:$C65,AT66)&lt;$B$6,IF($BI66,COUNTIF($C$32:$C65,AT66)&lt;IF($B$3="Stage 1",MIN($B$6,MAX(1,INT($B$5/$B$11))),IF(AND($B$3="Stage 3",$B$5=20,$B$11&gt;11),1,IF(AND($B$3="Stage 3",OR($B$15="Year 10-11-12 Girls"),$B$5&gt;20),MAX(2,Setup!$B$14),Setup!$B$14))),IF(AND($B$3&lt;&gt;"Stage 2",$B$3&lt;&gt;"Stage 3"),TRUE,IF($U66,TRUE,COUNTIF($C$32:$C65,AT66)&lt;IF(AND($B$3="Stage 2",$B$5=20,AT66=$E$5,$A66&lt;=IF($B$8="One Keeper",$B$5,$B$8)),2,IF(AND(OR($B$3="Stage 2",AND($B$3="Stage 3",OR($B$15="Year 10-11-12 Girls"))),AT66=$E$5,$A66&lt;=IF($B$8="One Keeper",$B$5,$B$8)),3,$B$9)))))))</f>
        <v>0</v>
      </c>
      <c r="BH66" s="20" t="b">
        <f>IF(AU66="",FALSE,AND(AU66&lt;&gt;$B66,AU66&lt;&gt;$C65,IFERROR(INDEX($E$18:$E$30,MATCH(AU66,$B$18:$B$30,0)),"No")="Yes",IF(AND(OR($B$3="Stage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Girls"))),$B$5&gt;20),MIN(3,MAX(2,Setup!$B$14)),2))*2),AU66=$E$5,IF(AND(OR($B$3="Stage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Girls"))),$B$5&gt;20),MIN(3,MAX(2,Setup!$B$14)),2))*2-1))),AU66=$E$4,TRUE)),COUNTIF($C$32:$C65,AU66)&lt;$B$6,IF($BI66,COUNTIF($C$32:$C65,AU66)&lt;IF($B$3="Stage 1",MIN($B$6,MAX(1,INT($B$5/$B$11))),IF(AND($B$3="Stage 3",$B$5=20,$B$11&gt;11),1,IF(AND($B$3="Stage 3",OR($B$15="Year 10-11-12 Girls"),$B$5&gt;20),MAX(2,Setup!$B$14),Setup!$B$14))),IF(AND($B$3&lt;&gt;"Stage 2",$B$3&lt;&gt;"Stage 3"),TRUE,IF($U66,TRUE,COUNTIF($C$32:$C65,AU66)&lt;IF(AND($B$3="Stage 2",$B$5=20,AU66=$E$5,$A66&lt;=IF($B$8="One Keeper",$B$5,$B$8)),2,IF(AND(OR($B$3="Stage 2",AND($B$3="Stage 3",OR($B$15="Year 10-11-12 Girls"))),AU66=$E$5,$A66&lt;=IF($B$8="One Keeper",$B$5,$B$8)),3,$B$9)))))))</f>
        <v>0</v>
      </c>
      <c r="BI66"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Keeper",$E$4&lt;&gt;$E$5,$A66&lt;=IF($B$8="One Keeper",$B$5,$B$8),COUNTIF($C$32:$C65,$E$5)&lt;IF(AND($B$3="Stage 3",$B$5=20,$B$11&gt;11),1,IF(AND(OR($B$3="Stage 2",AND($B$3="Stage 3",OR($B$15="Year 10-11-12 Girls"))),$B$5&gt;20),MIN(3,MAX(2,Setup!$B$14)),2)),IFERROR(INDEX($E$18:$E$30,MATCH($E$5,$B$18:$B$30,0)),"No")="Yes",$C65&lt;&gt;$E$5,MOD($A66,2)=0,$A66&lt;=IF(AND($B$3="Stage 3",$B$5=20,$B$11&gt;11),1,IF(AND(OR($B$3="Stage 2",AND($B$3="Stage 3",OR($B$15="Year 10-11-12 Girls"))),$B$5&gt;20),MIN(3,MAX(2,Setup!$B$14)),2))*2),AND(OR($B$3="Stage 1",$B$3="Stage 2",AND($B$3="Stage 3",OR(OR($B$15="Year 10-11-12 Girls"),OR($B$15="Year 8 Boys",$B$15="Year 9 Boys",$B$15="Year 10-11 Boys")))),$B$8&lt;&gt;"One Keeper",$E$4&lt;&gt;$E$5,$A66&gt;IF($B$8="One Keeper",$B$5,$B$8),COUNTIF($C$32:$C65,$E$4)&lt;IF(AND($B$3="Stage 3",$B$5=20,$B$11&gt;11),1,IF(AND(OR($B$3="Stage 2",AND($B$3="Stage 3",OR($B$15="Year 10-11-12 Girls"))),$B$5&gt;20),MIN(3,MAX(2,Setup!$B$14)),2)),IFERROR(INDEX($E$18:$E$30,MATCH($E$4,$B$18:$B$30,0)),"No")="Yes",$C65&lt;&gt;$E$4,IF($B$7="Three-over spell",AND(MOD($A66-IF($B$8="One Keeper",$B$5,$B$8)-1,3)=0,($A66-IF($B$8="One Keeper",$B$5,$B$8))&lt;=1+(IF(AND($B$3="Stage 3",$B$5=20,$B$11&gt;11),1,IF(AND(OR($B$3="Stage 2",AND($B$3="Stage 3",OR($B$15="Year 10-11-12 Girls"))),$B$5&gt;20),MIN(3,MAX(2,Setup!$B$14)),2))-1)*3),AND(MOD($A66-IF($B$8="One Keeper",$B$5,$B$8),2)=1,($A66-IF($B$8="One Keeper",$B$5,$B$8))&lt;=IF(AND($B$3="Stage 3",$B$5=20,$B$11&gt;11),1,IF(AND(OR($B$3="Stage 2",AND($B$3="Stage 3",OR($B$15="Year 10-11-12 Girls"))),$B$5&gt;20),MIN(3,MAX(2,Setup!$B$14)),2))*2-1))))),OR($U66,AND($B$3="Stage 3",$B$5=20,$B$11&gt;11)),OR($BJ66,$BK66,$BL66,$BM66,$BN66,$BO66,$BP66,$BQ66,$BR66,$BS66,$BT66,$BU66,$BV66))</f>
        <v>0</v>
      </c>
      <c r="BJ66" s="20" t="b">
        <f>IF(AI66="",FALSE,AND(AI66&lt;&gt;IF(AND($B$3="Stage 3",OR($B$15="Year 8 Boys",$B$15="Year 9 Boys",$B$15="Year 10-11 Boys"),$B$8="One Keeper"),$E$4,""),AI66&lt;&gt;$B66,AI66&lt;&gt;$C65,IFERROR(INDEX($E$18:$E$30,MATCH(AI66,$B$18:$B$30,0)),"No")="Yes",COUNTIF($C$32:$C65,AI66)&lt;$B$6,COUNTIF($C$32:$C65,AI66)&lt;IF($B$3="Stage 1",MIN($B$6,MAX(1,INT($B$5/$B$11))),IF(AND($B$3="Stage 3",$B$5=20,$B$11&gt;11),1,IF(AND($B$3="Stage 3",OR($B$15="Year 10-11-12 Girls"),$B$5&gt;20),MAX(2,Setup!$B$14),Setup!$B$14)))))</f>
        <v>0</v>
      </c>
      <c r="BK66" s="20" t="b">
        <f>IF(AJ66="",FALSE,AND(AJ66&lt;&gt;IF(AND($B$3="Stage 3",OR($B$15="Year 8 Boys",$B$15="Year 9 Boys",$B$15="Year 10-11 Boys"),$B$8="One Keeper"),$E$4,""),AJ66&lt;&gt;$B66,AJ66&lt;&gt;$C65,IFERROR(INDEX($E$18:$E$30,MATCH(AJ66,$B$18:$B$30,0)),"No")="Yes",COUNTIF($C$32:$C65,AJ66)&lt;$B$6,COUNTIF($C$32:$C65,AJ66)&lt;IF($B$3="Stage 1",MIN($B$6,MAX(1,INT($B$5/$B$11))),IF(AND($B$3="Stage 3",$B$5=20,$B$11&gt;11),1,IF(AND($B$3="Stage 3",OR($B$15="Year 10-11-12 Girls"),$B$5&gt;20),MAX(2,Setup!$B$14),Setup!$B$14)))))</f>
        <v>0</v>
      </c>
      <c r="BL66" s="20" t="b">
        <f>IF(AK66="",FALSE,AND(AK66&lt;&gt;IF(AND($B$3="Stage 3",OR($B$15="Year 8 Boys",$B$15="Year 9 Boys",$B$15="Year 10-11 Boys"),$B$8="One Keeper"),$E$4,""),AK66&lt;&gt;$B66,AK66&lt;&gt;$C65,IFERROR(INDEX($E$18:$E$30,MATCH(AK66,$B$18:$B$30,0)),"No")="Yes",COUNTIF($C$32:$C65,AK66)&lt;$B$6,COUNTIF($C$32:$C65,AK66)&lt;IF($B$3="Stage 1",MIN($B$6,MAX(1,INT($B$5/$B$11))),IF(AND($B$3="Stage 3",$B$5=20,$B$11&gt;11),1,IF(AND($B$3="Stage 3",OR($B$15="Year 10-11-12 Girls"),$B$5&gt;20),MAX(2,Setup!$B$14),Setup!$B$14)))))</f>
        <v>0</v>
      </c>
      <c r="BM66" s="20" t="b">
        <f>IF(AL66="",FALSE,AND(AL66&lt;&gt;IF(AND($B$3="Stage 3",OR($B$15="Year 8 Boys",$B$15="Year 9 Boys",$B$15="Year 10-11 Boys"),$B$8="One Keeper"),$E$4,""),AL66&lt;&gt;$B66,AL66&lt;&gt;$C65,IFERROR(INDEX($E$18:$E$30,MATCH(AL66,$B$18:$B$30,0)),"No")="Yes",COUNTIF($C$32:$C65,AL66)&lt;$B$6,COUNTIF($C$32:$C65,AL66)&lt;IF($B$3="Stage 1",MIN($B$6,MAX(1,INT($B$5/$B$11))),IF(AND($B$3="Stage 3",$B$5=20,$B$11&gt;11),1,IF(AND($B$3="Stage 3",OR($B$15="Year 10-11-12 Girls"),$B$5&gt;20),MAX(2,Setup!$B$14),Setup!$B$14)))))</f>
        <v>0</v>
      </c>
      <c r="BN66" s="20" t="b">
        <f>IF(AM66="",FALSE,AND(AM66&lt;&gt;IF(AND($B$3="Stage 3",OR($B$15="Year 8 Boys",$B$15="Year 9 Boys",$B$15="Year 10-11 Boys"),$B$8="One Keeper"),$E$4,""),AM66&lt;&gt;$B66,AM66&lt;&gt;$C65,IFERROR(INDEX($E$18:$E$30,MATCH(AM66,$B$18:$B$30,0)),"No")="Yes",COUNTIF($C$32:$C65,AM66)&lt;$B$6,COUNTIF($C$32:$C65,AM66)&lt;IF($B$3="Stage 1",MIN($B$6,MAX(1,INT($B$5/$B$11))),IF(AND($B$3="Stage 3",$B$5=20,$B$11&gt;11),1,IF(AND($B$3="Stage 3",OR($B$15="Year 10-11-12 Girls"),$B$5&gt;20),MAX(2,Setup!$B$14),Setup!$B$14)))))</f>
        <v>0</v>
      </c>
      <c r="BO66" s="20" t="b">
        <f>IF(AN66="",FALSE,AND(AN66&lt;&gt;IF(AND($B$3="Stage 3",OR($B$15="Year 8 Boys",$B$15="Year 9 Boys",$B$15="Year 10-11 Boys"),$B$8="One Keeper"),$E$4,""),AN66&lt;&gt;$B66,AN66&lt;&gt;$C65,IFERROR(INDEX($E$18:$E$30,MATCH(AN66,$B$18:$B$30,0)),"No")="Yes",COUNTIF($C$32:$C65,AN66)&lt;$B$6,COUNTIF($C$32:$C65,AN66)&lt;IF($B$3="Stage 1",MIN($B$6,MAX(1,INT($B$5/$B$11))),IF(AND($B$3="Stage 3",$B$5=20,$B$11&gt;11),1,IF(AND($B$3="Stage 3",OR($B$15="Year 10-11-12 Girls"),$B$5&gt;20),MAX(2,Setup!$B$14),Setup!$B$14)))))</f>
        <v>0</v>
      </c>
      <c r="BP66" s="20" t="b">
        <f>IF(AO66="",FALSE,AND(AO66&lt;&gt;IF(AND($B$3="Stage 3",OR($B$15="Year 8 Boys",$B$15="Year 9 Boys",$B$15="Year 10-11 Boys"),$B$8="One Keeper"),$E$4,""),AO66&lt;&gt;$B66,AO66&lt;&gt;$C65,IFERROR(INDEX($E$18:$E$30,MATCH(AO66,$B$18:$B$30,0)),"No")="Yes",COUNTIF($C$32:$C65,AO66)&lt;$B$6,COUNTIF($C$32:$C65,AO66)&lt;IF($B$3="Stage 1",MIN($B$6,MAX(1,INT($B$5/$B$11))),IF(AND($B$3="Stage 3",$B$5=20,$B$11&gt;11),1,IF(AND($B$3="Stage 3",OR($B$15="Year 10-11-12 Girls"),$B$5&gt;20),MAX(2,Setup!$B$14),Setup!$B$14)))))</f>
        <v>0</v>
      </c>
      <c r="BQ66" s="20" t="b">
        <f>IF(AP66="",FALSE,AND(AP66&lt;&gt;IF(AND($B$3="Stage 3",OR($B$15="Year 8 Boys",$B$15="Year 9 Boys",$B$15="Year 10-11 Boys"),$B$8="One Keeper"),$E$4,""),AP66&lt;&gt;$B66,AP66&lt;&gt;$C65,IFERROR(INDEX($E$18:$E$30,MATCH(AP66,$B$18:$B$30,0)),"No")="Yes",COUNTIF($C$32:$C65,AP66)&lt;$B$6,COUNTIF($C$32:$C65,AP66)&lt;IF($B$3="Stage 1",MIN($B$6,MAX(1,INT($B$5/$B$11))),IF(AND($B$3="Stage 3",$B$5=20,$B$11&gt;11),1,IF(AND($B$3="Stage 3",OR($B$15="Year 10-11-12 Girls"),$B$5&gt;20),MAX(2,Setup!$B$14),Setup!$B$14)))))</f>
        <v>0</v>
      </c>
      <c r="BR66" s="20" t="b">
        <f>IF(AQ66="",FALSE,AND(AQ66&lt;&gt;IF(AND($B$3="Stage 3",OR($B$15="Year 8 Boys",$B$15="Year 9 Boys",$B$15="Year 10-11 Boys"),$B$8="One Keeper"),$E$4,""),AQ66&lt;&gt;$B66,AQ66&lt;&gt;$C65,IFERROR(INDEX($E$18:$E$30,MATCH(AQ66,$B$18:$B$30,0)),"No")="Yes",COUNTIF($C$32:$C65,AQ66)&lt;$B$6,COUNTIF($C$32:$C65,AQ66)&lt;IF($B$3="Stage 1",MIN($B$6,MAX(1,INT($B$5/$B$11))),IF(AND($B$3="Stage 3",$B$5=20,$B$11&gt;11),1,IF(AND($B$3="Stage 3",OR($B$15="Year 10-11-12 Girls"),$B$5&gt;20),MAX(2,Setup!$B$14),Setup!$B$14)))))</f>
        <v>0</v>
      </c>
      <c r="BS66" s="20" t="b">
        <f>IF(AR66="",FALSE,AND(AR66&lt;&gt;IF(AND($B$3="Stage 3",OR($B$15="Year 8 Boys",$B$15="Year 9 Boys",$B$15="Year 10-11 Boys"),$B$8="One Keeper"),$E$4,""),AR66&lt;&gt;$B66,AR66&lt;&gt;$C65,IFERROR(INDEX($E$18:$E$30,MATCH(AR66,$B$18:$B$30,0)),"No")="Yes",COUNTIF($C$32:$C65,AR66)&lt;$B$6,COUNTIF($C$32:$C65,AR66)&lt;IF($B$3="Stage 1",MIN($B$6,MAX(1,INT($B$5/$B$11))),IF(AND($B$3="Stage 3",$B$5=20,$B$11&gt;11),1,IF(AND($B$3="Stage 3",OR($B$15="Year 10-11-12 Girls"),$B$5&gt;20),MAX(2,Setup!$B$14),Setup!$B$14)))))</f>
        <v>0</v>
      </c>
      <c r="BT66" s="20" t="b">
        <f>IF(AS66="",FALSE,AND(AS66&lt;&gt;IF(AND($B$3="Stage 3",OR($B$15="Year 8 Boys",$B$15="Year 9 Boys",$B$15="Year 10-11 Boys"),$B$8="One Keeper"),$E$4,""),AS66&lt;&gt;$B66,AS66&lt;&gt;$C65,IFERROR(INDEX($E$18:$E$30,MATCH(AS66,$B$18:$B$30,0)),"No")="Yes",COUNTIF($C$32:$C65,AS66)&lt;$B$6,COUNTIF($C$32:$C65,AS66)&lt;IF($B$3="Stage 1",MIN($B$6,MAX(1,INT($B$5/$B$11))),IF(AND($B$3="Stage 3",$B$5=20,$B$11&gt;11),1,IF(AND($B$3="Stage 3",OR($B$15="Year 10-11-12 Girls"),$B$5&gt;20),MAX(2,Setup!$B$14),Setup!$B$14)))))</f>
        <v>0</v>
      </c>
      <c r="BU66" s="20" t="b">
        <f>IF(AT66="",FALSE,AND(AT66&lt;&gt;IF(AND($B$3="Stage 3",OR($B$15="Year 8 Boys",$B$15="Year 9 Boys",$B$15="Year 10-11 Boys"),$B$8="One Keeper"),$E$4,""),AT66&lt;&gt;$B66,AT66&lt;&gt;$C65,IFERROR(INDEX($E$18:$E$30,MATCH(AT66,$B$18:$B$30,0)),"No")="Yes",COUNTIF($C$32:$C65,AT66)&lt;$B$6,COUNTIF($C$32:$C65,AT66)&lt;IF($B$3="Stage 1",MIN($B$6,MAX(1,INT($B$5/$B$11))),IF(AND($B$3="Stage 3",$B$5=20,$B$11&gt;11),1,IF(AND($B$3="Stage 3",OR($B$15="Year 10-11-12 Girls"),$B$5&gt;20),MAX(2,Setup!$B$14),Setup!$B$14)))))</f>
        <v>0</v>
      </c>
      <c r="BV66" s="20" t="b">
        <f>IF(AU66="",FALSE,AND(AU66&lt;&gt;IF(AND($B$3="Stage 3",OR($B$15="Year 8 Boys",$B$15="Year 9 Boys",$B$15="Year 10-11 Boys"),$B$8="One Keeper"),$E$4,""),AU66&lt;&gt;$B66,AU66&lt;&gt;$C65,IFERROR(INDEX($E$18:$E$30,MATCH(AU66,$B$18:$B$30,0)),"No")="Yes",COUNTIF($C$32:$C65,AU66)&lt;$B$6,COUNTIF($C$32:$C65,AU66)&lt;IF($B$3="Stage 1",MIN($B$6,MAX(1,INT($B$5/$B$11))),IF(AND($B$3="Stage 3",$B$5=20,$B$11&gt;11),1,IF(AND($B$3="Stage 3",OR($B$15="Year 10-11-12 Girls"),$B$5&gt;20),MAX(2,Setup!$B$14),Setup!$B$14)))))</f>
        <v>0</v>
      </c>
      <c r="BW66" s="20"/>
      <c r="BX66" s="20"/>
      <c r="BY66" s="20"/>
      <c r="BZ66" s="20"/>
      <c r="CA66" s="20"/>
      <c r="CB66" s="20"/>
      <c r="CC66" s="20"/>
      <c r="CD66" s="20"/>
      <c r="CE66" s="20"/>
      <c r="CF66" s="20"/>
      <c r="CG66" s="20"/>
      <c r="CH66" s="20"/>
      <c r="CI66" s="20"/>
      <c r="CJ66" s="20"/>
      <c r="CK66" s="20"/>
    </row>
    <row r="67" spans="1:89" ht="15" customHeight="1">
      <c r="A67" s="18">
        <v>36</v>
      </c>
      <c r="B67" s="18" t="str">
        <f t="shared" si="5"/>
        <v/>
      </c>
      <c r="C67" s="18" t="str">
        <f t="shared" si="6"/>
        <v/>
      </c>
      <c r="D67" s="18">
        <f t="shared" si="7"/>
        <v>8</v>
      </c>
      <c r="E67" s="18" t="str">
        <f>IF($C67="","",COUNTIF($C$32:C67,$C67))</f>
        <v/>
      </c>
      <c r="F67" s="18" t="str">
        <f t="shared" si="8"/>
        <v/>
      </c>
      <c r="T67" s="20" t="str">
        <f t="shared" si="15"/>
        <v/>
      </c>
      <c r="U67" s="20" t="b">
        <f>IF(OR($B$3="Stage 2",AND($B$3="Stage 3",OR($B$15="Year 10-11-12 Girls"))),(IF(AND($P$18&lt;&gt;"",$P$18&lt;&gt;$E$4,COUNTIF($C$32:$C66,$P$18)&gt;=2),1,0)+IF(AND($P$19&lt;&gt;"",$P$19&lt;&gt;$E$4,COUNTIF($C$32:$C66,$P$19)&gt;=2),1,0)+IF(AND($P$20&lt;&gt;"",$P$20&lt;&gt;$E$4,COUNTIF($C$32:$C66,$P$20)&gt;=2),1,0)+IF(AND($P$21&lt;&gt;"",$P$21&lt;&gt;$E$4,COUNTIF($C$32:$C66,$P$21)&gt;=2),1,0)+IF(AND($P$22&lt;&gt;"",$P$22&lt;&gt;$E$4,COUNTIF($C$32:$C66,$P$22)&gt;=2),1,0)+IF(AND($P$23&lt;&gt;"",$P$23&lt;&gt;$E$4,COUNTIF($C$32:$C66,$P$23)&gt;=2),1,0)+IF(AND($P$24&lt;&gt;"",$P$24&lt;&gt;$E$4,COUNTIF($C$32:$C66,$P$24)&gt;=2),1,0)+IF(AND($P$25&lt;&gt;"",$P$25&lt;&gt;$E$4,COUNTIF($C$32:$C66,$P$25)&gt;=2),1,0)+IF(AND($P$26&lt;&gt;"",$P$26&lt;&gt;$E$4,COUNTIF($C$32:$C66,$P$26)&gt;=2),1,0)+IF(AND($P$27&lt;&gt;"",$P$27&lt;&gt;$E$4,COUNTIF($C$32:$C66,$P$27)&gt;=2),1,0)+IF(AND($P$28&lt;&gt;"",$P$28&lt;&gt;$E$4,COUNTIF($C$32:$C66,$P$28)&gt;=2),1,0)+IF(AND($P$29&lt;&gt;"",$P$29&lt;&gt;$E$4,COUNTIF($C$32:$C66,$P$29)&gt;=2),1,0)+IF(AND($P$30&lt;&gt;"",$P$30&lt;&gt;$E$4,COUNTIF($C$32:$C66,$P$30)&gt;=2),1,0))&gt;=MAX(0,$B$11-1),IF(AND($B$3="Stage 3",OR($B$15="Year 8 Boys",$B$15="Year 9 Boys",$B$15="Year 10-11 Boys")),(IF(AND($P$18&lt;&gt;"",COUNTIF($C$32:$C66,$P$18)&gt;=2),1,0)+IF(AND($P$19&lt;&gt;"",COUNTIF($C$32:$C66,$P$19)&gt;=2),1,0)+IF(AND($P$20&lt;&gt;"",COUNTIF($C$32:$C66,$P$20)&gt;=2),1,0)+IF(AND($P$21&lt;&gt;"",COUNTIF($C$32:$C66,$P$21)&gt;=2),1,0)+IF(AND($P$22&lt;&gt;"",COUNTIF($C$32:$C66,$P$22)&gt;=2),1,0)+IF(AND($P$23&lt;&gt;"",COUNTIF($C$32:$C66,$P$23)&gt;=2),1,0)+IF(AND($P$24&lt;&gt;"",COUNTIF($C$32:$C66,$P$24)&gt;=2),1,0)+IF(AND($P$25&lt;&gt;"",COUNTIF($C$32:$C66,$P$25)&gt;=2),1,0)+IF(AND($P$26&lt;&gt;"",COUNTIF($C$32:$C66,$P$26)&gt;=2),1,0)+IF(AND($P$27&lt;&gt;"",COUNTIF($C$32:$C66,$P$27)&gt;=2),1,0)+IF(AND($P$28&lt;&gt;"",COUNTIF($C$32:$C66,$P$28)&gt;=2),1,0)+IF(AND($P$29&lt;&gt;"",COUNTIF($C$32:$C66,$P$29)&gt;=2),1,0)+IF(AND($P$30&lt;&gt;"",COUNTIF($C$32:$C66,$P$30)&gt;=2),1,0))&gt;=7,TRUE))</f>
        <v>1</v>
      </c>
      <c r="V67" s="20" t="str">
        <f t="shared" si="32"/>
        <v/>
      </c>
      <c r="W67" s="20" t="str">
        <f t="shared" si="32"/>
        <v/>
      </c>
      <c r="X67" s="20" t="str">
        <f t="shared" si="32"/>
        <v/>
      </c>
      <c r="Y67" s="20" t="str">
        <f t="shared" si="32"/>
        <v/>
      </c>
      <c r="Z67" s="20" t="str">
        <f t="shared" si="32"/>
        <v/>
      </c>
      <c r="AA67" s="20" t="str">
        <f t="shared" si="32"/>
        <v/>
      </c>
      <c r="AB67" s="20" t="str">
        <f t="shared" si="32"/>
        <v/>
      </c>
      <c r="AC67" s="20" t="str">
        <f t="shared" si="32"/>
        <v/>
      </c>
      <c r="AD67" s="20" t="str">
        <f t="shared" si="32"/>
        <v/>
      </c>
      <c r="AE67" s="20" t="str">
        <f t="shared" si="32"/>
        <v/>
      </c>
      <c r="AF67" s="20" t="str">
        <f t="shared" si="32"/>
        <v/>
      </c>
      <c r="AG67" s="20" t="str">
        <f t="shared" si="32"/>
        <v/>
      </c>
      <c r="AH67" s="20" t="str">
        <f t="shared" si="32"/>
        <v/>
      </c>
      <c r="AI67" s="20" t="str">
        <f t="shared" si="17"/>
        <v/>
      </c>
      <c r="AJ67" s="20" t="str">
        <f t="shared" si="18"/>
        <v/>
      </c>
      <c r="AK67" s="20" t="str">
        <f t="shared" si="19"/>
        <v/>
      </c>
      <c r="AL67" s="20" t="str">
        <f t="shared" si="20"/>
        <v/>
      </c>
      <c r="AM67" s="20" t="str">
        <f t="shared" si="21"/>
        <v/>
      </c>
      <c r="AN67" s="20" t="str">
        <f t="shared" si="22"/>
        <v/>
      </c>
      <c r="AO67" s="20" t="str">
        <f t="shared" si="23"/>
        <v/>
      </c>
      <c r="AP67" s="20" t="str">
        <f t="shared" si="24"/>
        <v/>
      </c>
      <c r="AQ67" s="20" t="str">
        <f t="shared" si="25"/>
        <v/>
      </c>
      <c r="AR67" s="20" t="str">
        <f t="shared" si="26"/>
        <v/>
      </c>
      <c r="AS67" s="20" t="str">
        <f t="shared" si="27"/>
        <v/>
      </c>
      <c r="AT67" s="20" t="str">
        <f t="shared" si="28"/>
        <v/>
      </c>
      <c r="AU67" s="20" t="str">
        <f t="shared" si="29"/>
        <v/>
      </c>
      <c r="AV67" s="20" t="b">
        <f>IF(AI67="",FALSE,AND(AI67&lt;&gt;$B67,AI67&lt;&gt;$C66,IFERROR(INDEX($E$18:$E$30,MATCH(AI67,$B$18:$B$30,0)),"No")="Yes",IF(AND(OR($B$3="Stage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Girls"))),$B$5&gt;20),MIN(3,MAX(2,Setup!$B$14)),2))*2),AI67=$E$5,IF(AND(OR($B$3="Stage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Girls"))),$B$5&gt;20),MIN(3,MAX(2,Setup!$B$14)),2))*2-1))),AI67=$E$4,TRUE)),COUNTIF($C$32:$C66,AI67)&lt;$B$6,IF($BI67,COUNTIF($C$32:$C66,AI67)&lt;IF($B$3="Stage 1",MIN($B$6,MAX(1,INT($B$5/$B$11))),IF(AND($B$3="Stage 3",$B$5=20,$B$11&gt;11),1,IF(AND($B$3="Stage 3",OR($B$15="Year 10-11-12 Girls"),$B$5&gt;20),MAX(2,Setup!$B$14),Setup!$B$14))),IF(AND($B$3&lt;&gt;"Stage 2",$B$3&lt;&gt;"Stage 3"),TRUE,IF($U67,TRUE,COUNTIF($C$32:$C66,AI67)&lt;IF(AND($B$3="Stage 2",$B$5=20,AI67=$E$5,$A67&lt;=IF($B$8="One Keeper",$B$5,$B$8)),2,IF(AND(OR($B$3="Stage 2",AND($B$3="Stage 3",OR($B$15="Year 10-11-12 Girls"))),AI67=$E$5,$A67&lt;=IF($B$8="One Keeper",$B$5,$B$8)),3,$B$9)))))))</f>
        <v>0</v>
      </c>
      <c r="AW67" s="20" t="b">
        <f>IF(AJ67="",FALSE,AND(AJ67&lt;&gt;$B67,AJ67&lt;&gt;$C66,IFERROR(INDEX($E$18:$E$30,MATCH(AJ67,$B$18:$B$30,0)),"No")="Yes",IF(AND(OR($B$3="Stage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Girls"))),$B$5&gt;20),MIN(3,MAX(2,Setup!$B$14)),2))*2),AJ67=$E$5,IF(AND(OR($B$3="Stage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Girls"))),$B$5&gt;20),MIN(3,MAX(2,Setup!$B$14)),2))*2-1))),AJ67=$E$4,TRUE)),COUNTIF($C$32:$C66,AJ67)&lt;$B$6,IF($BI67,COUNTIF($C$32:$C66,AJ67)&lt;IF($B$3="Stage 1",MIN($B$6,MAX(1,INT($B$5/$B$11))),IF(AND($B$3="Stage 3",$B$5=20,$B$11&gt;11),1,IF(AND($B$3="Stage 3",OR($B$15="Year 10-11-12 Girls"),$B$5&gt;20),MAX(2,Setup!$B$14),Setup!$B$14))),IF(AND($B$3&lt;&gt;"Stage 2",$B$3&lt;&gt;"Stage 3"),TRUE,IF($U67,TRUE,COUNTIF($C$32:$C66,AJ67)&lt;IF(AND($B$3="Stage 2",$B$5=20,AJ67=$E$5,$A67&lt;=IF($B$8="One Keeper",$B$5,$B$8)),2,IF(AND(OR($B$3="Stage 2",AND($B$3="Stage 3",OR($B$15="Year 10-11-12 Girls"))),AJ67=$E$5,$A67&lt;=IF($B$8="One Keeper",$B$5,$B$8)),3,$B$9)))))))</f>
        <v>0</v>
      </c>
      <c r="AX67" s="20" t="b">
        <f>IF(AK67="",FALSE,AND(AK67&lt;&gt;$B67,AK67&lt;&gt;$C66,IFERROR(INDEX($E$18:$E$30,MATCH(AK67,$B$18:$B$30,0)),"No")="Yes",IF(AND(OR($B$3="Stage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Girls"))),$B$5&gt;20),MIN(3,MAX(2,Setup!$B$14)),2))*2),AK67=$E$5,IF(AND(OR($B$3="Stage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Girls"))),$B$5&gt;20),MIN(3,MAX(2,Setup!$B$14)),2))*2-1))),AK67=$E$4,TRUE)),COUNTIF($C$32:$C66,AK67)&lt;$B$6,IF($BI67,COUNTIF($C$32:$C66,AK67)&lt;IF($B$3="Stage 1",MIN($B$6,MAX(1,INT($B$5/$B$11))),IF(AND($B$3="Stage 3",$B$5=20,$B$11&gt;11),1,IF(AND($B$3="Stage 3",OR($B$15="Year 10-11-12 Girls"),$B$5&gt;20),MAX(2,Setup!$B$14),Setup!$B$14))),IF(AND($B$3&lt;&gt;"Stage 2",$B$3&lt;&gt;"Stage 3"),TRUE,IF($U67,TRUE,COUNTIF($C$32:$C66,AK67)&lt;IF(AND($B$3="Stage 2",$B$5=20,AK67=$E$5,$A67&lt;=IF($B$8="One Keeper",$B$5,$B$8)),2,IF(AND(OR($B$3="Stage 2",AND($B$3="Stage 3",OR($B$15="Year 10-11-12 Girls"))),AK67=$E$5,$A67&lt;=IF($B$8="One Keeper",$B$5,$B$8)),3,$B$9)))))))</f>
        <v>0</v>
      </c>
      <c r="AY67" s="20" t="b">
        <f>IF(AL67="",FALSE,AND(AL67&lt;&gt;$B67,AL67&lt;&gt;$C66,IFERROR(INDEX($E$18:$E$30,MATCH(AL67,$B$18:$B$30,0)),"No")="Yes",IF(AND(OR($B$3="Stage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Girls"))),$B$5&gt;20),MIN(3,MAX(2,Setup!$B$14)),2))*2),AL67=$E$5,IF(AND(OR($B$3="Stage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Girls"))),$B$5&gt;20),MIN(3,MAX(2,Setup!$B$14)),2))*2-1))),AL67=$E$4,TRUE)),COUNTIF($C$32:$C66,AL67)&lt;$B$6,IF($BI67,COUNTIF($C$32:$C66,AL67)&lt;IF($B$3="Stage 1",MIN($B$6,MAX(1,INT($B$5/$B$11))),IF(AND($B$3="Stage 3",$B$5=20,$B$11&gt;11),1,IF(AND($B$3="Stage 3",OR($B$15="Year 10-11-12 Girls"),$B$5&gt;20),MAX(2,Setup!$B$14),Setup!$B$14))),IF(AND($B$3&lt;&gt;"Stage 2",$B$3&lt;&gt;"Stage 3"),TRUE,IF($U67,TRUE,COUNTIF($C$32:$C66,AL67)&lt;IF(AND($B$3="Stage 2",$B$5=20,AL67=$E$5,$A67&lt;=IF($B$8="One Keeper",$B$5,$B$8)),2,IF(AND(OR($B$3="Stage 2",AND($B$3="Stage 3",OR($B$15="Year 10-11-12 Girls"))),AL67=$E$5,$A67&lt;=IF($B$8="One Keeper",$B$5,$B$8)),3,$B$9)))))))</f>
        <v>0</v>
      </c>
      <c r="AZ67" s="20" t="b">
        <f>IF(AM67="",FALSE,AND(AM67&lt;&gt;$B67,AM67&lt;&gt;$C66,IFERROR(INDEX($E$18:$E$30,MATCH(AM67,$B$18:$B$30,0)),"No")="Yes",IF(AND(OR($B$3="Stage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Girls"))),$B$5&gt;20),MIN(3,MAX(2,Setup!$B$14)),2))*2),AM67=$E$5,IF(AND(OR($B$3="Stage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Girls"))),$B$5&gt;20),MIN(3,MAX(2,Setup!$B$14)),2))*2-1))),AM67=$E$4,TRUE)),COUNTIF($C$32:$C66,AM67)&lt;$B$6,IF($BI67,COUNTIF($C$32:$C66,AM67)&lt;IF($B$3="Stage 1",MIN($B$6,MAX(1,INT($B$5/$B$11))),IF(AND($B$3="Stage 3",$B$5=20,$B$11&gt;11),1,IF(AND($B$3="Stage 3",OR($B$15="Year 10-11-12 Girls"),$B$5&gt;20),MAX(2,Setup!$B$14),Setup!$B$14))),IF(AND($B$3&lt;&gt;"Stage 2",$B$3&lt;&gt;"Stage 3"),TRUE,IF($U67,TRUE,COUNTIF($C$32:$C66,AM67)&lt;IF(AND($B$3="Stage 2",$B$5=20,AM67=$E$5,$A67&lt;=IF($B$8="One Keeper",$B$5,$B$8)),2,IF(AND(OR($B$3="Stage 2",AND($B$3="Stage 3",OR($B$15="Year 10-11-12 Girls"))),AM67=$E$5,$A67&lt;=IF($B$8="One Keeper",$B$5,$B$8)),3,$B$9)))))))</f>
        <v>0</v>
      </c>
      <c r="BA67" s="20" t="b">
        <f>IF(AN67="",FALSE,AND(AN67&lt;&gt;$B67,AN67&lt;&gt;$C66,IFERROR(INDEX($E$18:$E$30,MATCH(AN67,$B$18:$B$30,0)),"No")="Yes",IF(AND(OR($B$3="Stage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Girls"))),$B$5&gt;20),MIN(3,MAX(2,Setup!$B$14)),2))*2),AN67=$E$5,IF(AND(OR($B$3="Stage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Girls"))),$B$5&gt;20),MIN(3,MAX(2,Setup!$B$14)),2))*2-1))),AN67=$E$4,TRUE)),COUNTIF($C$32:$C66,AN67)&lt;$B$6,IF($BI67,COUNTIF($C$32:$C66,AN67)&lt;IF($B$3="Stage 1",MIN($B$6,MAX(1,INT($B$5/$B$11))),IF(AND($B$3="Stage 3",$B$5=20,$B$11&gt;11),1,IF(AND($B$3="Stage 3",OR($B$15="Year 10-11-12 Girls"),$B$5&gt;20),MAX(2,Setup!$B$14),Setup!$B$14))),IF(AND($B$3&lt;&gt;"Stage 2",$B$3&lt;&gt;"Stage 3"),TRUE,IF($U67,TRUE,COUNTIF($C$32:$C66,AN67)&lt;IF(AND($B$3="Stage 2",$B$5=20,AN67=$E$5,$A67&lt;=IF($B$8="One Keeper",$B$5,$B$8)),2,IF(AND(OR($B$3="Stage 2",AND($B$3="Stage 3",OR($B$15="Year 10-11-12 Girls"))),AN67=$E$5,$A67&lt;=IF($B$8="One Keeper",$B$5,$B$8)),3,$B$9)))))))</f>
        <v>0</v>
      </c>
      <c r="BB67" s="20" t="b">
        <f>IF(AO67="",FALSE,AND(AO67&lt;&gt;$B67,AO67&lt;&gt;$C66,IFERROR(INDEX($E$18:$E$30,MATCH(AO67,$B$18:$B$30,0)),"No")="Yes",IF(AND(OR($B$3="Stage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Girls"))),$B$5&gt;20),MIN(3,MAX(2,Setup!$B$14)),2))*2),AO67=$E$5,IF(AND(OR($B$3="Stage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Girls"))),$B$5&gt;20),MIN(3,MAX(2,Setup!$B$14)),2))*2-1))),AO67=$E$4,TRUE)),COUNTIF($C$32:$C66,AO67)&lt;$B$6,IF($BI67,COUNTIF($C$32:$C66,AO67)&lt;IF($B$3="Stage 1",MIN($B$6,MAX(1,INT($B$5/$B$11))),IF(AND($B$3="Stage 3",$B$5=20,$B$11&gt;11),1,IF(AND($B$3="Stage 3",OR($B$15="Year 10-11-12 Girls"),$B$5&gt;20),MAX(2,Setup!$B$14),Setup!$B$14))),IF(AND($B$3&lt;&gt;"Stage 2",$B$3&lt;&gt;"Stage 3"),TRUE,IF($U67,TRUE,COUNTIF($C$32:$C66,AO67)&lt;IF(AND($B$3="Stage 2",$B$5=20,AO67=$E$5,$A67&lt;=IF($B$8="One Keeper",$B$5,$B$8)),2,IF(AND(OR($B$3="Stage 2",AND($B$3="Stage 3",OR($B$15="Year 10-11-12 Girls"))),AO67=$E$5,$A67&lt;=IF($B$8="One Keeper",$B$5,$B$8)),3,$B$9)))))))</f>
        <v>0</v>
      </c>
      <c r="BC67" s="20" t="b">
        <f>IF(AP67="",FALSE,AND(AP67&lt;&gt;$B67,AP67&lt;&gt;$C66,IFERROR(INDEX($E$18:$E$30,MATCH(AP67,$B$18:$B$30,0)),"No")="Yes",IF(AND(OR($B$3="Stage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Girls"))),$B$5&gt;20),MIN(3,MAX(2,Setup!$B$14)),2))*2),AP67=$E$5,IF(AND(OR($B$3="Stage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Girls"))),$B$5&gt;20),MIN(3,MAX(2,Setup!$B$14)),2))*2-1))),AP67=$E$4,TRUE)),COUNTIF($C$32:$C66,AP67)&lt;$B$6,IF($BI67,COUNTIF($C$32:$C66,AP67)&lt;IF($B$3="Stage 1",MIN($B$6,MAX(1,INT($B$5/$B$11))),IF(AND($B$3="Stage 3",$B$5=20,$B$11&gt;11),1,IF(AND($B$3="Stage 3",OR($B$15="Year 10-11-12 Girls"),$B$5&gt;20),MAX(2,Setup!$B$14),Setup!$B$14))),IF(AND($B$3&lt;&gt;"Stage 2",$B$3&lt;&gt;"Stage 3"),TRUE,IF($U67,TRUE,COUNTIF($C$32:$C66,AP67)&lt;IF(AND($B$3="Stage 2",$B$5=20,AP67=$E$5,$A67&lt;=IF($B$8="One Keeper",$B$5,$B$8)),2,IF(AND(OR($B$3="Stage 2",AND($B$3="Stage 3",OR($B$15="Year 10-11-12 Girls"))),AP67=$E$5,$A67&lt;=IF($B$8="One Keeper",$B$5,$B$8)),3,$B$9)))))))</f>
        <v>0</v>
      </c>
      <c r="BD67" s="20" t="b">
        <f>IF(AQ67="",FALSE,AND(AQ67&lt;&gt;$B67,AQ67&lt;&gt;$C66,IFERROR(INDEX($E$18:$E$30,MATCH(AQ67,$B$18:$B$30,0)),"No")="Yes",IF(AND(OR($B$3="Stage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Girls"))),$B$5&gt;20),MIN(3,MAX(2,Setup!$B$14)),2))*2),AQ67=$E$5,IF(AND(OR($B$3="Stage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Girls"))),$B$5&gt;20),MIN(3,MAX(2,Setup!$B$14)),2))*2-1))),AQ67=$E$4,TRUE)),COUNTIF($C$32:$C66,AQ67)&lt;$B$6,IF($BI67,COUNTIF($C$32:$C66,AQ67)&lt;IF($B$3="Stage 1",MIN($B$6,MAX(1,INT($B$5/$B$11))),IF(AND($B$3="Stage 3",$B$5=20,$B$11&gt;11),1,IF(AND($B$3="Stage 3",OR($B$15="Year 10-11-12 Girls"),$B$5&gt;20),MAX(2,Setup!$B$14),Setup!$B$14))),IF(AND($B$3&lt;&gt;"Stage 2",$B$3&lt;&gt;"Stage 3"),TRUE,IF($U67,TRUE,COUNTIF($C$32:$C66,AQ67)&lt;IF(AND($B$3="Stage 2",$B$5=20,AQ67=$E$5,$A67&lt;=IF($B$8="One Keeper",$B$5,$B$8)),2,IF(AND(OR($B$3="Stage 2",AND($B$3="Stage 3",OR($B$15="Year 10-11-12 Girls"))),AQ67=$E$5,$A67&lt;=IF($B$8="One Keeper",$B$5,$B$8)),3,$B$9)))))))</f>
        <v>0</v>
      </c>
      <c r="BE67" s="20" t="b">
        <f>IF(AR67="",FALSE,AND(AR67&lt;&gt;$B67,AR67&lt;&gt;$C66,IFERROR(INDEX($E$18:$E$30,MATCH(AR67,$B$18:$B$30,0)),"No")="Yes",IF(AND(OR($B$3="Stage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Girls"))),$B$5&gt;20),MIN(3,MAX(2,Setup!$B$14)),2))*2),AR67=$E$5,IF(AND(OR($B$3="Stage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Girls"))),$B$5&gt;20),MIN(3,MAX(2,Setup!$B$14)),2))*2-1))),AR67=$E$4,TRUE)),COUNTIF($C$32:$C66,AR67)&lt;$B$6,IF($BI67,COUNTIF($C$32:$C66,AR67)&lt;IF($B$3="Stage 1",MIN($B$6,MAX(1,INT($B$5/$B$11))),IF(AND($B$3="Stage 3",$B$5=20,$B$11&gt;11),1,IF(AND($B$3="Stage 3",OR($B$15="Year 10-11-12 Girls"),$B$5&gt;20),MAX(2,Setup!$B$14),Setup!$B$14))),IF(AND($B$3&lt;&gt;"Stage 2",$B$3&lt;&gt;"Stage 3"),TRUE,IF($U67,TRUE,COUNTIF($C$32:$C66,AR67)&lt;IF(AND($B$3="Stage 2",$B$5=20,AR67=$E$5,$A67&lt;=IF($B$8="One Keeper",$B$5,$B$8)),2,IF(AND(OR($B$3="Stage 2",AND($B$3="Stage 3",OR($B$15="Year 10-11-12 Girls"))),AR67=$E$5,$A67&lt;=IF($B$8="One Keeper",$B$5,$B$8)),3,$B$9)))))))</f>
        <v>0</v>
      </c>
      <c r="BF67" s="20" t="b">
        <f>IF(AS67="",FALSE,AND(AS67&lt;&gt;$B67,AS67&lt;&gt;$C66,IFERROR(INDEX($E$18:$E$30,MATCH(AS67,$B$18:$B$30,0)),"No")="Yes",IF(AND(OR($B$3="Stage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Girls"))),$B$5&gt;20),MIN(3,MAX(2,Setup!$B$14)),2))*2),AS67=$E$5,IF(AND(OR($B$3="Stage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Girls"))),$B$5&gt;20),MIN(3,MAX(2,Setup!$B$14)),2))*2-1))),AS67=$E$4,TRUE)),COUNTIF($C$32:$C66,AS67)&lt;$B$6,IF($BI67,COUNTIF($C$32:$C66,AS67)&lt;IF($B$3="Stage 1",MIN($B$6,MAX(1,INT($B$5/$B$11))),IF(AND($B$3="Stage 3",$B$5=20,$B$11&gt;11),1,IF(AND($B$3="Stage 3",OR($B$15="Year 10-11-12 Girls"),$B$5&gt;20),MAX(2,Setup!$B$14),Setup!$B$14))),IF(AND($B$3&lt;&gt;"Stage 2",$B$3&lt;&gt;"Stage 3"),TRUE,IF($U67,TRUE,COUNTIF($C$32:$C66,AS67)&lt;IF(AND($B$3="Stage 2",$B$5=20,AS67=$E$5,$A67&lt;=IF($B$8="One Keeper",$B$5,$B$8)),2,IF(AND(OR($B$3="Stage 2",AND($B$3="Stage 3",OR($B$15="Year 10-11-12 Girls"))),AS67=$E$5,$A67&lt;=IF($B$8="One Keeper",$B$5,$B$8)),3,$B$9)))))))</f>
        <v>0</v>
      </c>
      <c r="BG67" s="20" t="b">
        <f>IF(AT67="",FALSE,AND(AT67&lt;&gt;$B67,AT67&lt;&gt;$C66,IFERROR(INDEX($E$18:$E$30,MATCH(AT67,$B$18:$B$30,0)),"No")="Yes",IF(AND(OR($B$3="Stage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Girls"))),$B$5&gt;20),MIN(3,MAX(2,Setup!$B$14)),2))*2),AT67=$E$5,IF(AND(OR($B$3="Stage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Girls"))),$B$5&gt;20),MIN(3,MAX(2,Setup!$B$14)),2))*2-1))),AT67=$E$4,TRUE)),COUNTIF($C$32:$C66,AT67)&lt;$B$6,IF($BI67,COUNTIF($C$32:$C66,AT67)&lt;IF($B$3="Stage 1",MIN($B$6,MAX(1,INT($B$5/$B$11))),IF(AND($B$3="Stage 3",$B$5=20,$B$11&gt;11),1,IF(AND($B$3="Stage 3",OR($B$15="Year 10-11-12 Girls"),$B$5&gt;20),MAX(2,Setup!$B$14),Setup!$B$14))),IF(AND($B$3&lt;&gt;"Stage 2",$B$3&lt;&gt;"Stage 3"),TRUE,IF($U67,TRUE,COUNTIF($C$32:$C66,AT67)&lt;IF(AND($B$3="Stage 2",$B$5=20,AT67=$E$5,$A67&lt;=IF($B$8="One Keeper",$B$5,$B$8)),2,IF(AND(OR($B$3="Stage 2",AND($B$3="Stage 3",OR($B$15="Year 10-11-12 Girls"))),AT67=$E$5,$A67&lt;=IF($B$8="One Keeper",$B$5,$B$8)),3,$B$9)))))))</f>
        <v>0</v>
      </c>
      <c r="BH67" s="20" t="b">
        <f>IF(AU67="",FALSE,AND(AU67&lt;&gt;$B67,AU67&lt;&gt;$C66,IFERROR(INDEX($E$18:$E$30,MATCH(AU67,$B$18:$B$30,0)),"No")="Yes",IF(AND(OR($B$3="Stage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Girls"))),$B$5&gt;20),MIN(3,MAX(2,Setup!$B$14)),2))*2),AU67=$E$5,IF(AND(OR($B$3="Stage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Girls"))),$B$5&gt;20),MIN(3,MAX(2,Setup!$B$14)),2))*2-1))),AU67=$E$4,TRUE)),COUNTIF($C$32:$C66,AU67)&lt;$B$6,IF($BI67,COUNTIF($C$32:$C66,AU67)&lt;IF($B$3="Stage 1",MIN($B$6,MAX(1,INT($B$5/$B$11))),IF(AND($B$3="Stage 3",$B$5=20,$B$11&gt;11),1,IF(AND($B$3="Stage 3",OR($B$15="Year 10-11-12 Girls"),$B$5&gt;20),MAX(2,Setup!$B$14),Setup!$B$14))),IF(AND($B$3&lt;&gt;"Stage 2",$B$3&lt;&gt;"Stage 3"),TRUE,IF($U67,TRUE,COUNTIF($C$32:$C66,AU67)&lt;IF(AND($B$3="Stage 2",$B$5=20,AU67=$E$5,$A67&lt;=IF($B$8="One Keeper",$B$5,$B$8)),2,IF(AND(OR($B$3="Stage 2",AND($B$3="Stage 3",OR($B$15="Year 10-11-12 Girls"))),AU67=$E$5,$A67&lt;=IF($B$8="One Keeper",$B$5,$B$8)),3,$B$9)))))))</f>
        <v>0</v>
      </c>
      <c r="BI67"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Keeper",$E$4&lt;&gt;$E$5,$A67&lt;=IF($B$8="One Keeper",$B$5,$B$8),COUNTIF($C$32:$C66,$E$5)&lt;IF(AND($B$3="Stage 3",$B$5=20,$B$11&gt;11),1,IF(AND(OR($B$3="Stage 2",AND($B$3="Stage 3",OR($B$15="Year 10-11-12 Girls"))),$B$5&gt;20),MIN(3,MAX(2,Setup!$B$14)),2)),IFERROR(INDEX($E$18:$E$30,MATCH($E$5,$B$18:$B$30,0)),"No")="Yes",$C66&lt;&gt;$E$5,MOD($A67,2)=0,$A67&lt;=IF(AND($B$3="Stage 3",$B$5=20,$B$11&gt;11),1,IF(AND(OR($B$3="Stage 2",AND($B$3="Stage 3",OR($B$15="Year 10-11-12 Girls"))),$B$5&gt;20),MIN(3,MAX(2,Setup!$B$14)),2))*2),AND(OR($B$3="Stage 1",$B$3="Stage 2",AND($B$3="Stage 3",OR(OR($B$15="Year 10-11-12 Girls"),OR($B$15="Year 8 Boys",$B$15="Year 9 Boys",$B$15="Year 10-11 Boys")))),$B$8&lt;&gt;"One Keeper",$E$4&lt;&gt;$E$5,$A67&gt;IF($B$8="One Keeper",$B$5,$B$8),COUNTIF($C$32:$C66,$E$4)&lt;IF(AND($B$3="Stage 3",$B$5=20,$B$11&gt;11),1,IF(AND(OR($B$3="Stage 2",AND($B$3="Stage 3",OR($B$15="Year 10-11-12 Girls"))),$B$5&gt;20),MIN(3,MAX(2,Setup!$B$14)),2)),IFERROR(INDEX($E$18:$E$30,MATCH($E$4,$B$18:$B$30,0)),"No")="Yes",$C66&lt;&gt;$E$4,IF($B$7="Three-over spell",AND(MOD($A67-IF($B$8="One Keeper",$B$5,$B$8)-1,3)=0,($A67-IF($B$8="One Keeper",$B$5,$B$8))&lt;=1+(IF(AND($B$3="Stage 3",$B$5=20,$B$11&gt;11),1,IF(AND(OR($B$3="Stage 2",AND($B$3="Stage 3",OR($B$15="Year 10-11-12 Girls"))),$B$5&gt;20),MIN(3,MAX(2,Setup!$B$14)),2))-1)*3),AND(MOD($A67-IF($B$8="One Keeper",$B$5,$B$8),2)=1,($A67-IF($B$8="One Keeper",$B$5,$B$8))&lt;=IF(AND($B$3="Stage 3",$B$5=20,$B$11&gt;11),1,IF(AND(OR($B$3="Stage 2",AND($B$3="Stage 3",OR($B$15="Year 10-11-12 Girls"))),$B$5&gt;20),MIN(3,MAX(2,Setup!$B$14)),2))*2-1))))),OR($U67,AND($B$3="Stage 3",$B$5=20,$B$11&gt;11)),OR($BJ67,$BK67,$BL67,$BM67,$BN67,$BO67,$BP67,$BQ67,$BR67,$BS67,$BT67,$BU67,$BV67))</f>
        <v>0</v>
      </c>
      <c r="BJ67" s="20" t="b">
        <f>IF(AI67="",FALSE,AND(AI67&lt;&gt;IF(AND($B$3="Stage 3",OR($B$15="Year 8 Boys",$B$15="Year 9 Boys",$B$15="Year 10-11 Boys"),$B$8="One Keeper"),$E$4,""),AI67&lt;&gt;$B67,AI67&lt;&gt;$C66,IFERROR(INDEX($E$18:$E$30,MATCH(AI67,$B$18:$B$30,0)),"No")="Yes",COUNTIF($C$32:$C66,AI67)&lt;$B$6,COUNTIF($C$32:$C66,AI67)&lt;IF($B$3="Stage 1",MIN($B$6,MAX(1,INT($B$5/$B$11))),IF(AND($B$3="Stage 3",$B$5=20,$B$11&gt;11),1,IF(AND($B$3="Stage 3",OR($B$15="Year 10-11-12 Girls"),$B$5&gt;20),MAX(2,Setup!$B$14),Setup!$B$14)))))</f>
        <v>0</v>
      </c>
      <c r="BK67" s="20" t="b">
        <f>IF(AJ67="",FALSE,AND(AJ67&lt;&gt;IF(AND($B$3="Stage 3",OR($B$15="Year 8 Boys",$B$15="Year 9 Boys",$B$15="Year 10-11 Boys"),$B$8="One Keeper"),$E$4,""),AJ67&lt;&gt;$B67,AJ67&lt;&gt;$C66,IFERROR(INDEX($E$18:$E$30,MATCH(AJ67,$B$18:$B$30,0)),"No")="Yes",COUNTIF($C$32:$C66,AJ67)&lt;$B$6,COUNTIF($C$32:$C66,AJ67)&lt;IF($B$3="Stage 1",MIN($B$6,MAX(1,INT($B$5/$B$11))),IF(AND($B$3="Stage 3",$B$5=20,$B$11&gt;11),1,IF(AND($B$3="Stage 3",OR($B$15="Year 10-11-12 Girls"),$B$5&gt;20),MAX(2,Setup!$B$14),Setup!$B$14)))))</f>
        <v>0</v>
      </c>
      <c r="BL67" s="20" t="b">
        <f>IF(AK67="",FALSE,AND(AK67&lt;&gt;IF(AND($B$3="Stage 3",OR($B$15="Year 8 Boys",$B$15="Year 9 Boys",$B$15="Year 10-11 Boys"),$B$8="One Keeper"),$E$4,""),AK67&lt;&gt;$B67,AK67&lt;&gt;$C66,IFERROR(INDEX($E$18:$E$30,MATCH(AK67,$B$18:$B$30,0)),"No")="Yes",COUNTIF($C$32:$C66,AK67)&lt;$B$6,COUNTIF($C$32:$C66,AK67)&lt;IF($B$3="Stage 1",MIN($B$6,MAX(1,INT($B$5/$B$11))),IF(AND($B$3="Stage 3",$B$5=20,$B$11&gt;11),1,IF(AND($B$3="Stage 3",OR($B$15="Year 10-11-12 Girls"),$B$5&gt;20),MAX(2,Setup!$B$14),Setup!$B$14)))))</f>
        <v>0</v>
      </c>
      <c r="BM67" s="20" t="b">
        <f>IF(AL67="",FALSE,AND(AL67&lt;&gt;IF(AND($B$3="Stage 3",OR($B$15="Year 8 Boys",$B$15="Year 9 Boys",$B$15="Year 10-11 Boys"),$B$8="One Keeper"),$E$4,""),AL67&lt;&gt;$B67,AL67&lt;&gt;$C66,IFERROR(INDEX($E$18:$E$30,MATCH(AL67,$B$18:$B$30,0)),"No")="Yes",COUNTIF($C$32:$C66,AL67)&lt;$B$6,COUNTIF($C$32:$C66,AL67)&lt;IF($B$3="Stage 1",MIN($B$6,MAX(1,INT($B$5/$B$11))),IF(AND($B$3="Stage 3",$B$5=20,$B$11&gt;11),1,IF(AND($B$3="Stage 3",OR($B$15="Year 10-11-12 Girls"),$B$5&gt;20),MAX(2,Setup!$B$14),Setup!$B$14)))))</f>
        <v>0</v>
      </c>
      <c r="BN67" s="20" t="b">
        <f>IF(AM67="",FALSE,AND(AM67&lt;&gt;IF(AND($B$3="Stage 3",OR($B$15="Year 8 Boys",$B$15="Year 9 Boys",$B$15="Year 10-11 Boys"),$B$8="One Keeper"),$E$4,""),AM67&lt;&gt;$B67,AM67&lt;&gt;$C66,IFERROR(INDEX($E$18:$E$30,MATCH(AM67,$B$18:$B$30,0)),"No")="Yes",COUNTIF($C$32:$C66,AM67)&lt;$B$6,COUNTIF($C$32:$C66,AM67)&lt;IF($B$3="Stage 1",MIN($B$6,MAX(1,INT($B$5/$B$11))),IF(AND($B$3="Stage 3",$B$5=20,$B$11&gt;11),1,IF(AND($B$3="Stage 3",OR($B$15="Year 10-11-12 Girls"),$B$5&gt;20),MAX(2,Setup!$B$14),Setup!$B$14)))))</f>
        <v>0</v>
      </c>
      <c r="BO67" s="20" t="b">
        <f>IF(AN67="",FALSE,AND(AN67&lt;&gt;IF(AND($B$3="Stage 3",OR($B$15="Year 8 Boys",$B$15="Year 9 Boys",$B$15="Year 10-11 Boys"),$B$8="One Keeper"),$E$4,""),AN67&lt;&gt;$B67,AN67&lt;&gt;$C66,IFERROR(INDEX($E$18:$E$30,MATCH(AN67,$B$18:$B$30,0)),"No")="Yes",COUNTIF($C$32:$C66,AN67)&lt;$B$6,COUNTIF($C$32:$C66,AN67)&lt;IF($B$3="Stage 1",MIN($B$6,MAX(1,INT($B$5/$B$11))),IF(AND($B$3="Stage 3",$B$5=20,$B$11&gt;11),1,IF(AND($B$3="Stage 3",OR($B$15="Year 10-11-12 Girls"),$B$5&gt;20),MAX(2,Setup!$B$14),Setup!$B$14)))))</f>
        <v>0</v>
      </c>
      <c r="BP67" s="20" t="b">
        <f>IF(AO67="",FALSE,AND(AO67&lt;&gt;IF(AND($B$3="Stage 3",OR($B$15="Year 8 Boys",$B$15="Year 9 Boys",$B$15="Year 10-11 Boys"),$B$8="One Keeper"),$E$4,""),AO67&lt;&gt;$B67,AO67&lt;&gt;$C66,IFERROR(INDEX($E$18:$E$30,MATCH(AO67,$B$18:$B$30,0)),"No")="Yes",COUNTIF($C$32:$C66,AO67)&lt;$B$6,COUNTIF($C$32:$C66,AO67)&lt;IF($B$3="Stage 1",MIN($B$6,MAX(1,INT($B$5/$B$11))),IF(AND($B$3="Stage 3",$B$5=20,$B$11&gt;11),1,IF(AND($B$3="Stage 3",OR($B$15="Year 10-11-12 Girls"),$B$5&gt;20),MAX(2,Setup!$B$14),Setup!$B$14)))))</f>
        <v>0</v>
      </c>
      <c r="BQ67" s="20" t="b">
        <f>IF(AP67="",FALSE,AND(AP67&lt;&gt;IF(AND($B$3="Stage 3",OR($B$15="Year 8 Boys",$B$15="Year 9 Boys",$B$15="Year 10-11 Boys"),$B$8="One Keeper"),$E$4,""),AP67&lt;&gt;$B67,AP67&lt;&gt;$C66,IFERROR(INDEX($E$18:$E$30,MATCH(AP67,$B$18:$B$30,0)),"No")="Yes",COUNTIF($C$32:$C66,AP67)&lt;$B$6,COUNTIF($C$32:$C66,AP67)&lt;IF($B$3="Stage 1",MIN($B$6,MAX(1,INT($B$5/$B$11))),IF(AND($B$3="Stage 3",$B$5=20,$B$11&gt;11),1,IF(AND($B$3="Stage 3",OR($B$15="Year 10-11-12 Girls"),$B$5&gt;20),MAX(2,Setup!$B$14),Setup!$B$14)))))</f>
        <v>0</v>
      </c>
      <c r="BR67" s="20" t="b">
        <f>IF(AQ67="",FALSE,AND(AQ67&lt;&gt;IF(AND($B$3="Stage 3",OR($B$15="Year 8 Boys",$B$15="Year 9 Boys",$B$15="Year 10-11 Boys"),$B$8="One Keeper"),$E$4,""),AQ67&lt;&gt;$B67,AQ67&lt;&gt;$C66,IFERROR(INDEX($E$18:$E$30,MATCH(AQ67,$B$18:$B$30,0)),"No")="Yes",COUNTIF($C$32:$C66,AQ67)&lt;$B$6,COUNTIF($C$32:$C66,AQ67)&lt;IF($B$3="Stage 1",MIN($B$6,MAX(1,INT($B$5/$B$11))),IF(AND($B$3="Stage 3",$B$5=20,$B$11&gt;11),1,IF(AND($B$3="Stage 3",OR($B$15="Year 10-11-12 Girls"),$B$5&gt;20),MAX(2,Setup!$B$14),Setup!$B$14)))))</f>
        <v>0</v>
      </c>
      <c r="BS67" s="20" t="b">
        <f>IF(AR67="",FALSE,AND(AR67&lt;&gt;IF(AND($B$3="Stage 3",OR($B$15="Year 8 Boys",$B$15="Year 9 Boys",$B$15="Year 10-11 Boys"),$B$8="One Keeper"),$E$4,""),AR67&lt;&gt;$B67,AR67&lt;&gt;$C66,IFERROR(INDEX($E$18:$E$30,MATCH(AR67,$B$18:$B$30,0)),"No")="Yes",COUNTIF($C$32:$C66,AR67)&lt;$B$6,COUNTIF($C$32:$C66,AR67)&lt;IF($B$3="Stage 1",MIN($B$6,MAX(1,INT($B$5/$B$11))),IF(AND($B$3="Stage 3",$B$5=20,$B$11&gt;11),1,IF(AND($B$3="Stage 3",OR($B$15="Year 10-11-12 Girls"),$B$5&gt;20),MAX(2,Setup!$B$14),Setup!$B$14)))))</f>
        <v>0</v>
      </c>
      <c r="BT67" s="20" t="b">
        <f>IF(AS67="",FALSE,AND(AS67&lt;&gt;IF(AND($B$3="Stage 3",OR($B$15="Year 8 Boys",$B$15="Year 9 Boys",$B$15="Year 10-11 Boys"),$B$8="One Keeper"),$E$4,""),AS67&lt;&gt;$B67,AS67&lt;&gt;$C66,IFERROR(INDEX($E$18:$E$30,MATCH(AS67,$B$18:$B$30,0)),"No")="Yes",COUNTIF($C$32:$C66,AS67)&lt;$B$6,COUNTIF($C$32:$C66,AS67)&lt;IF($B$3="Stage 1",MIN($B$6,MAX(1,INT($B$5/$B$11))),IF(AND($B$3="Stage 3",$B$5=20,$B$11&gt;11),1,IF(AND($B$3="Stage 3",OR($B$15="Year 10-11-12 Girls"),$B$5&gt;20),MAX(2,Setup!$B$14),Setup!$B$14)))))</f>
        <v>0</v>
      </c>
      <c r="BU67" s="20" t="b">
        <f>IF(AT67="",FALSE,AND(AT67&lt;&gt;IF(AND($B$3="Stage 3",OR($B$15="Year 8 Boys",$B$15="Year 9 Boys",$B$15="Year 10-11 Boys"),$B$8="One Keeper"),$E$4,""),AT67&lt;&gt;$B67,AT67&lt;&gt;$C66,IFERROR(INDEX($E$18:$E$30,MATCH(AT67,$B$18:$B$30,0)),"No")="Yes",COUNTIF($C$32:$C66,AT67)&lt;$B$6,COUNTIF($C$32:$C66,AT67)&lt;IF($B$3="Stage 1",MIN($B$6,MAX(1,INT($B$5/$B$11))),IF(AND($B$3="Stage 3",$B$5=20,$B$11&gt;11),1,IF(AND($B$3="Stage 3",OR($B$15="Year 10-11-12 Girls"),$B$5&gt;20),MAX(2,Setup!$B$14),Setup!$B$14)))))</f>
        <v>0</v>
      </c>
      <c r="BV67" s="20" t="b">
        <f>IF(AU67="",FALSE,AND(AU67&lt;&gt;IF(AND($B$3="Stage 3",OR($B$15="Year 8 Boys",$B$15="Year 9 Boys",$B$15="Year 10-11 Boys"),$B$8="One Keeper"),$E$4,""),AU67&lt;&gt;$B67,AU67&lt;&gt;$C66,IFERROR(INDEX($E$18:$E$30,MATCH(AU67,$B$18:$B$30,0)),"No")="Yes",COUNTIF($C$32:$C66,AU67)&lt;$B$6,COUNTIF($C$32:$C66,AU67)&lt;IF($B$3="Stage 1",MIN($B$6,MAX(1,INT($B$5/$B$11))),IF(AND($B$3="Stage 3",$B$5=20,$B$11&gt;11),1,IF(AND($B$3="Stage 3",OR($B$15="Year 10-11-12 Girls"),$B$5&gt;20),MAX(2,Setup!$B$14),Setup!$B$14)))))</f>
        <v>0</v>
      </c>
      <c r="BW67" s="20"/>
      <c r="BX67" s="20"/>
      <c r="BY67" s="20"/>
      <c r="BZ67" s="20"/>
      <c r="CA67" s="20"/>
      <c r="CB67" s="20"/>
      <c r="CC67" s="20"/>
      <c r="CD67" s="20"/>
      <c r="CE67" s="20"/>
      <c r="CF67" s="20"/>
      <c r="CG67" s="20"/>
      <c r="CH67" s="20"/>
      <c r="CI67" s="20"/>
      <c r="CJ67" s="20"/>
      <c r="CK67" s="20"/>
    </row>
    <row r="68" spans="1:89" ht="15" customHeight="1">
      <c r="A68" s="18">
        <v>37</v>
      </c>
      <c r="B68" s="18" t="str">
        <f t="shared" si="5"/>
        <v/>
      </c>
      <c r="C68" s="18" t="str">
        <f t="shared" si="6"/>
        <v/>
      </c>
      <c r="D68" s="18">
        <f t="shared" si="7"/>
        <v>8</v>
      </c>
      <c r="E68" s="18" t="str">
        <f>IF($C68="","",COUNTIF($C$32:C68,$C68))</f>
        <v/>
      </c>
      <c r="F68" s="18" t="str">
        <f t="shared" si="8"/>
        <v/>
      </c>
      <c r="T68" s="20" t="str">
        <f t="shared" si="15"/>
        <v/>
      </c>
      <c r="U68" s="20" t="b">
        <f>IF(OR($B$3="Stage 2",AND($B$3="Stage 3",OR($B$15="Year 10-11-12 Girls"))),(IF(AND($P$18&lt;&gt;"",$P$18&lt;&gt;$E$4,COUNTIF($C$32:$C67,$P$18)&gt;=2),1,0)+IF(AND($P$19&lt;&gt;"",$P$19&lt;&gt;$E$4,COUNTIF($C$32:$C67,$P$19)&gt;=2),1,0)+IF(AND($P$20&lt;&gt;"",$P$20&lt;&gt;$E$4,COUNTIF($C$32:$C67,$P$20)&gt;=2),1,0)+IF(AND($P$21&lt;&gt;"",$P$21&lt;&gt;$E$4,COUNTIF($C$32:$C67,$P$21)&gt;=2),1,0)+IF(AND($P$22&lt;&gt;"",$P$22&lt;&gt;$E$4,COUNTIF($C$32:$C67,$P$22)&gt;=2),1,0)+IF(AND($P$23&lt;&gt;"",$P$23&lt;&gt;$E$4,COUNTIF($C$32:$C67,$P$23)&gt;=2),1,0)+IF(AND($P$24&lt;&gt;"",$P$24&lt;&gt;$E$4,COUNTIF($C$32:$C67,$P$24)&gt;=2),1,0)+IF(AND($P$25&lt;&gt;"",$P$25&lt;&gt;$E$4,COUNTIF($C$32:$C67,$P$25)&gt;=2),1,0)+IF(AND($P$26&lt;&gt;"",$P$26&lt;&gt;$E$4,COUNTIF($C$32:$C67,$P$26)&gt;=2),1,0)+IF(AND($P$27&lt;&gt;"",$P$27&lt;&gt;$E$4,COUNTIF($C$32:$C67,$P$27)&gt;=2),1,0)+IF(AND($P$28&lt;&gt;"",$P$28&lt;&gt;$E$4,COUNTIF($C$32:$C67,$P$28)&gt;=2),1,0)+IF(AND($P$29&lt;&gt;"",$P$29&lt;&gt;$E$4,COUNTIF($C$32:$C67,$P$29)&gt;=2),1,0)+IF(AND($P$30&lt;&gt;"",$P$30&lt;&gt;$E$4,COUNTIF($C$32:$C67,$P$30)&gt;=2),1,0))&gt;=MAX(0,$B$11-1),IF(AND($B$3="Stage 3",OR($B$15="Year 8 Boys",$B$15="Year 9 Boys",$B$15="Year 10-11 Boys")),(IF(AND($P$18&lt;&gt;"",COUNTIF($C$32:$C67,$P$18)&gt;=2),1,0)+IF(AND($P$19&lt;&gt;"",COUNTIF($C$32:$C67,$P$19)&gt;=2),1,0)+IF(AND($P$20&lt;&gt;"",COUNTIF($C$32:$C67,$P$20)&gt;=2),1,0)+IF(AND($P$21&lt;&gt;"",COUNTIF($C$32:$C67,$P$21)&gt;=2),1,0)+IF(AND($P$22&lt;&gt;"",COUNTIF($C$32:$C67,$P$22)&gt;=2),1,0)+IF(AND($P$23&lt;&gt;"",COUNTIF($C$32:$C67,$P$23)&gt;=2),1,0)+IF(AND($P$24&lt;&gt;"",COUNTIF($C$32:$C67,$P$24)&gt;=2),1,0)+IF(AND($P$25&lt;&gt;"",COUNTIF($C$32:$C67,$P$25)&gt;=2),1,0)+IF(AND($P$26&lt;&gt;"",COUNTIF($C$32:$C67,$P$26)&gt;=2),1,0)+IF(AND($P$27&lt;&gt;"",COUNTIF($C$32:$C67,$P$27)&gt;=2),1,0)+IF(AND($P$28&lt;&gt;"",COUNTIF($C$32:$C67,$P$28)&gt;=2),1,0)+IF(AND($P$29&lt;&gt;"",COUNTIF($C$32:$C67,$P$29)&gt;=2),1,0)+IF(AND($P$30&lt;&gt;"",COUNTIF($C$32:$C67,$P$30)&gt;=2),1,0))&gt;=7,TRUE))</f>
        <v>1</v>
      </c>
      <c r="V68" s="20" t="str">
        <f t="shared" si="32"/>
        <v/>
      </c>
      <c r="W68" s="20" t="str">
        <f t="shared" si="32"/>
        <v/>
      </c>
      <c r="X68" s="20" t="str">
        <f t="shared" si="32"/>
        <v/>
      </c>
      <c r="Y68" s="20" t="str">
        <f t="shared" si="32"/>
        <v/>
      </c>
      <c r="Z68" s="20" t="str">
        <f t="shared" si="32"/>
        <v/>
      </c>
      <c r="AA68" s="20" t="str">
        <f t="shared" si="32"/>
        <v/>
      </c>
      <c r="AB68" s="20" t="str">
        <f t="shared" si="32"/>
        <v/>
      </c>
      <c r="AC68" s="20" t="str">
        <f t="shared" si="32"/>
        <v/>
      </c>
      <c r="AD68" s="20" t="str">
        <f t="shared" si="32"/>
        <v/>
      </c>
      <c r="AE68" s="20" t="str">
        <f t="shared" si="32"/>
        <v/>
      </c>
      <c r="AF68" s="20" t="str">
        <f t="shared" si="32"/>
        <v/>
      </c>
      <c r="AG68" s="20" t="str">
        <f t="shared" si="32"/>
        <v/>
      </c>
      <c r="AH68" s="20" t="str">
        <f t="shared" si="32"/>
        <v/>
      </c>
      <c r="AI68" s="20" t="str">
        <f t="shared" si="17"/>
        <v/>
      </c>
      <c r="AJ68" s="20" t="str">
        <f t="shared" si="18"/>
        <v/>
      </c>
      <c r="AK68" s="20" t="str">
        <f t="shared" si="19"/>
        <v/>
      </c>
      <c r="AL68" s="20" t="str">
        <f t="shared" si="20"/>
        <v/>
      </c>
      <c r="AM68" s="20" t="str">
        <f t="shared" si="21"/>
        <v/>
      </c>
      <c r="AN68" s="20" t="str">
        <f t="shared" si="22"/>
        <v/>
      </c>
      <c r="AO68" s="20" t="str">
        <f t="shared" si="23"/>
        <v/>
      </c>
      <c r="AP68" s="20" t="str">
        <f t="shared" si="24"/>
        <v/>
      </c>
      <c r="AQ68" s="20" t="str">
        <f t="shared" si="25"/>
        <v/>
      </c>
      <c r="AR68" s="20" t="str">
        <f t="shared" si="26"/>
        <v/>
      </c>
      <c r="AS68" s="20" t="str">
        <f t="shared" si="27"/>
        <v/>
      </c>
      <c r="AT68" s="20" t="str">
        <f t="shared" si="28"/>
        <v/>
      </c>
      <c r="AU68" s="20" t="str">
        <f t="shared" si="29"/>
        <v/>
      </c>
      <c r="AV68" s="20" t="b">
        <f>IF(AI68="",FALSE,AND(AI68&lt;&gt;$B68,AI68&lt;&gt;$C67,IFERROR(INDEX($E$18:$E$30,MATCH(AI68,$B$18:$B$30,0)),"No")="Yes",IF(AND(OR($B$3="Stage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Girls"))),$B$5&gt;20),MIN(3,MAX(2,Setup!$B$14)),2))*2),AI68=$E$5,IF(AND(OR($B$3="Stage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Girls"))),$B$5&gt;20),MIN(3,MAX(2,Setup!$B$14)),2))*2-1))),AI68=$E$4,TRUE)),COUNTIF($C$32:$C67,AI68)&lt;$B$6,IF($BI68,COUNTIF($C$32:$C67,AI68)&lt;IF($B$3="Stage 1",MIN($B$6,MAX(1,INT($B$5/$B$11))),IF(AND($B$3="Stage 3",$B$5=20,$B$11&gt;11),1,IF(AND($B$3="Stage 3",OR($B$15="Year 10-11-12 Girls"),$B$5&gt;20),MAX(2,Setup!$B$14),Setup!$B$14))),IF(AND($B$3&lt;&gt;"Stage 2",$B$3&lt;&gt;"Stage 3"),TRUE,IF($U68,TRUE,COUNTIF($C$32:$C67,AI68)&lt;IF(AND($B$3="Stage 2",$B$5=20,AI68=$E$5,$A68&lt;=IF($B$8="One Keeper",$B$5,$B$8)),2,IF(AND(OR($B$3="Stage 2",AND($B$3="Stage 3",OR($B$15="Year 10-11-12 Girls"))),AI68=$E$5,$A68&lt;=IF($B$8="One Keeper",$B$5,$B$8)),3,$B$9)))))))</f>
        <v>0</v>
      </c>
      <c r="AW68" s="20" t="b">
        <f>IF(AJ68="",FALSE,AND(AJ68&lt;&gt;$B68,AJ68&lt;&gt;$C67,IFERROR(INDEX($E$18:$E$30,MATCH(AJ68,$B$18:$B$30,0)),"No")="Yes",IF(AND(OR($B$3="Stage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Girls"))),$B$5&gt;20),MIN(3,MAX(2,Setup!$B$14)),2))*2),AJ68=$E$5,IF(AND(OR($B$3="Stage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Girls"))),$B$5&gt;20),MIN(3,MAX(2,Setup!$B$14)),2))*2-1))),AJ68=$E$4,TRUE)),COUNTIF($C$32:$C67,AJ68)&lt;$B$6,IF($BI68,COUNTIF($C$32:$C67,AJ68)&lt;IF($B$3="Stage 1",MIN($B$6,MAX(1,INT($B$5/$B$11))),IF(AND($B$3="Stage 3",$B$5=20,$B$11&gt;11),1,IF(AND($B$3="Stage 3",OR($B$15="Year 10-11-12 Girls"),$B$5&gt;20),MAX(2,Setup!$B$14),Setup!$B$14))),IF(AND($B$3&lt;&gt;"Stage 2",$B$3&lt;&gt;"Stage 3"),TRUE,IF($U68,TRUE,COUNTIF($C$32:$C67,AJ68)&lt;IF(AND($B$3="Stage 2",$B$5=20,AJ68=$E$5,$A68&lt;=IF($B$8="One Keeper",$B$5,$B$8)),2,IF(AND(OR($B$3="Stage 2",AND($B$3="Stage 3",OR($B$15="Year 10-11-12 Girls"))),AJ68=$E$5,$A68&lt;=IF($B$8="One Keeper",$B$5,$B$8)),3,$B$9)))))))</f>
        <v>0</v>
      </c>
      <c r="AX68" s="20" t="b">
        <f>IF(AK68="",FALSE,AND(AK68&lt;&gt;$B68,AK68&lt;&gt;$C67,IFERROR(INDEX($E$18:$E$30,MATCH(AK68,$B$18:$B$30,0)),"No")="Yes",IF(AND(OR($B$3="Stage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Girls"))),$B$5&gt;20),MIN(3,MAX(2,Setup!$B$14)),2))*2),AK68=$E$5,IF(AND(OR($B$3="Stage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Girls"))),$B$5&gt;20),MIN(3,MAX(2,Setup!$B$14)),2))*2-1))),AK68=$E$4,TRUE)),COUNTIF($C$32:$C67,AK68)&lt;$B$6,IF($BI68,COUNTIF($C$32:$C67,AK68)&lt;IF($B$3="Stage 1",MIN($B$6,MAX(1,INT($B$5/$B$11))),IF(AND($B$3="Stage 3",$B$5=20,$B$11&gt;11),1,IF(AND($B$3="Stage 3",OR($B$15="Year 10-11-12 Girls"),$B$5&gt;20),MAX(2,Setup!$B$14),Setup!$B$14))),IF(AND($B$3&lt;&gt;"Stage 2",$B$3&lt;&gt;"Stage 3"),TRUE,IF($U68,TRUE,COUNTIF($C$32:$C67,AK68)&lt;IF(AND($B$3="Stage 2",$B$5=20,AK68=$E$5,$A68&lt;=IF($B$8="One Keeper",$B$5,$B$8)),2,IF(AND(OR($B$3="Stage 2",AND($B$3="Stage 3",OR($B$15="Year 10-11-12 Girls"))),AK68=$E$5,$A68&lt;=IF($B$8="One Keeper",$B$5,$B$8)),3,$B$9)))))))</f>
        <v>0</v>
      </c>
      <c r="AY68" s="20" t="b">
        <f>IF(AL68="",FALSE,AND(AL68&lt;&gt;$B68,AL68&lt;&gt;$C67,IFERROR(INDEX($E$18:$E$30,MATCH(AL68,$B$18:$B$30,0)),"No")="Yes",IF(AND(OR($B$3="Stage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Girls"))),$B$5&gt;20),MIN(3,MAX(2,Setup!$B$14)),2))*2),AL68=$E$5,IF(AND(OR($B$3="Stage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Girls"))),$B$5&gt;20),MIN(3,MAX(2,Setup!$B$14)),2))*2-1))),AL68=$E$4,TRUE)),COUNTIF($C$32:$C67,AL68)&lt;$B$6,IF($BI68,COUNTIF($C$32:$C67,AL68)&lt;IF($B$3="Stage 1",MIN($B$6,MAX(1,INT($B$5/$B$11))),IF(AND($B$3="Stage 3",$B$5=20,$B$11&gt;11),1,IF(AND($B$3="Stage 3",OR($B$15="Year 10-11-12 Girls"),$B$5&gt;20),MAX(2,Setup!$B$14),Setup!$B$14))),IF(AND($B$3&lt;&gt;"Stage 2",$B$3&lt;&gt;"Stage 3"),TRUE,IF($U68,TRUE,COUNTIF($C$32:$C67,AL68)&lt;IF(AND($B$3="Stage 2",$B$5=20,AL68=$E$5,$A68&lt;=IF($B$8="One Keeper",$B$5,$B$8)),2,IF(AND(OR($B$3="Stage 2",AND($B$3="Stage 3",OR($B$15="Year 10-11-12 Girls"))),AL68=$E$5,$A68&lt;=IF($B$8="One Keeper",$B$5,$B$8)),3,$B$9)))))))</f>
        <v>0</v>
      </c>
      <c r="AZ68" s="20" t="b">
        <f>IF(AM68="",FALSE,AND(AM68&lt;&gt;$B68,AM68&lt;&gt;$C67,IFERROR(INDEX($E$18:$E$30,MATCH(AM68,$B$18:$B$30,0)),"No")="Yes",IF(AND(OR($B$3="Stage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Girls"))),$B$5&gt;20),MIN(3,MAX(2,Setup!$B$14)),2))*2),AM68=$E$5,IF(AND(OR($B$3="Stage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Girls"))),$B$5&gt;20),MIN(3,MAX(2,Setup!$B$14)),2))*2-1))),AM68=$E$4,TRUE)),COUNTIF($C$32:$C67,AM68)&lt;$B$6,IF($BI68,COUNTIF($C$32:$C67,AM68)&lt;IF($B$3="Stage 1",MIN($B$6,MAX(1,INT($B$5/$B$11))),IF(AND($B$3="Stage 3",$B$5=20,$B$11&gt;11),1,IF(AND($B$3="Stage 3",OR($B$15="Year 10-11-12 Girls"),$B$5&gt;20),MAX(2,Setup!$B$14),Setup!$B$14))),IF(AND($B$3&lt;&gt;"Stage 2",$B$3&lt;&gt;"Stage 3"),TRUE,IF($U68,TRUE,COUNTIF($C$32:$C67,AM68)&lt;IF(AND($B$3="Stage 2",$B$5=20,AM68=$E$5,$A68&lt;=IF($B$8="One Keeper",$B$5,$B$8)),2,IF(AND(OR($B$3="Stage 2",AND($B$3="Stage 3",OR($B$15="Year 10-11-12 Girls"))),AM68=$E$5,$A68&lt;=IF($B$8="One Keeper",$B$5,$B$8)),3,$B$9)))))))</f>
        <v>0</v>
      </c>
      <c r="BA68" s="20" t="b">
        <f>IF(AN68="",FALSE,AND(AN68&lt;&gt;$B68,AN68&lt;&gt;$C67,IFERROR(INDEX($E$18:$E$30,MATCH(AN68,$B$18:$B$30,0)),"No")="Yes",IF(AND(OR($B$3="Stage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Girls"))),$B$5&gt;20),MIN(3,MAX(2,Setup!$B$14)),2))*2),AN68=$E$5,IF(AND(OR($B$3="Stage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Girls"))),$B$5&gt;20),MIN(3,MAX(2,Setup!$B$14)),2))*2-1))),AN68=$E$4,TRUE)),COUNTIF($C$32:$C67,AN68)&lt;$B$6,IF($BI68,COUNTIF($C$32:$C67,AN68)&lt;IF($B$3="Stage 1",MIN($B$6,MAX(1,INT($B$5/$B$11))),IF(AND($B$3="Stage 3",$B$5=20,$B$11&gt;11),1,IF(AND($B$3="Stage 3",OR($B$15="Year 10-11-12 Girls"),$B$5&gt;20),MAX(2,Setup!$B$14),Setup!$B$14))),IF(AND($B$3&lt;&gt;"Stage 2",$B$3&lt;&gt;"Stage 3"),TRUE,IF($U68,TRUE,COUNTIF($C$32:$C67,AN68)&lt;IF(AND($B$3="Stage 2",$B$5=20,AN68=$E$5,$A68&lt;=IF($B$8="One Keeper",$B$5,$B$8)),2,IF(AND(OR($B$3="Stage 2",AND($B$3="Stage 3",OR($B$15="Year 10-11-12 Girls"))),AN68=$E$5,$A68&lt;=IF($B$8="One Keeper",$B$5,$B$8)),3,$B$9)))))))</f>
        <v>0</v>
      </c>
      <c r="BB68" s="20" t="b">
        <f>IF(AO68="",FALSE,AND(AO68&lt;&gt;$B68,AO68&lt;&gt;$C67,IFERROR(INDEX($E$18:$E$30,MATCH(AO68,$B$18:$B$30,0)),"No")="Yes",IF(AND(OR($B$3="Stage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Girls"))),$B$5&gt;20),MIN(3,MAX(2,Setup!$B$14)),2))*2),AO68=$E$5,IF(AND(OR($B$3="Stage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Girls"))),$B$5&gt;20),MIN(3,MAX(2,Setup!$B$14)),2))*2-1))),AO68=$E$4,TRUE)),COUNTIF($C$32:$C67,AO68)&lt;$B$6,IF($BI68,COUNTIF($C$32:$C67,AO68)&lt;IF($B$3="Stage 1",MIN($B$6,MAX(1,INT($B$5/$B$11))),IF(AND($B$3="Stage 3",$B$5=20,$B$11&gt;11),1,IF(AND($B$3="Stage 3",OR($B$15="Year 10-11-12 Girls"),$B$5&gt;20),MAX(2,Setup!$B$14),Setup!$B$14))),IF(AND($B$3&lt;&gt;"Stage 2",$B$3&lt;&gt;"Stage 3"),TRUE,IF($U68,TRUE,COUNTIF($C$32:$C67,AO68)&lt;IF(AND($B$3="Stage 2",$B$5=20,AO68=$E$5,$A68&lt;=IF($B$8="One Keeper",$B$5,$B$8)),2,IF(AND(OR($B$3="Stage 2",AND($B$3="Stage 3",OR($B$15="Year 10-11-12 Girls"))),AO68=$E$5,$A68&lt;=IF($B$8="One Keeper",$B$5,$B$8)),3,$B$9)))))))</f>
        <v>0</v>
      </c>
      <c r="BC68" s="20" t="b">
        <f>IF(AP68="",FALSE,AND(AP68&lt;&gt;$B68,AP68&lt;&gt;$C67,IFERROR(INDEX($E$18:$E$30,MATCH(AP68,$B$18:$B$30,0)),"No")="Yes",IF(AND(OR($B$3="Stage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Girls"))),$B$5&gt;20),MIN(3,MAX(2,Setup!$B$14)),2))*2),AP68=$E$5,IF(AND(OR($B$3="Stage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Girls"))),$B$5&gt;20),MIN(3,MAX(2,Setup!$B$14)),2))*2-1))),AP68=$E$4,TRUE)),COUNTIF($C$32:$C67,AP68)&lt;$B$6,IF($BI68,COUNTIF($C$32:$C67,AP68)&lt;IF($B$3="Stage 1",MIN($B$6,MAX(1,INT($B$5/$B$11))),IF(AND($B$3="Stage 3",$B$5=20,$B$11&gt;11),1,IF(AND($B$3="Stage 3",OR($B$15="Year 10-11-12 Girls"),$B$5&gt;20),MAX(2,Setup!$B$14),Setup!$B$14))),IF(AND($B$3&lt;&gt;"Stage 2",$B$3&lt;&gt;"Stage 3"),TRUE,IF($U68,TRUE,COUNTIF($C$32:$C67,AP68)&lt;IF(AND($B$3="Stage 2",$B$5=20,AP68=$E$5,$A68&lt;=IF($B$8="One Keeper",$B$5,$B$8)),2,IF(AND(OR($B$3="Stage 2",AND($B$3="Stage 3",OR($B$15="Year 10-11-12 Girls"))),AP68=$E$5,$A68&lt;=IF($B$8="One Keeper",$B$5,$B$8)),3,$B$9)))))))</f>
        <v>0</v>
      </c>
      <c r="BD68" s="20" t="b">
        <f>IF(AQ68="",FALSE,AND(AQ68&lt;&gt;$B68,AQ68&lt;&gt;$C67,IFERROR(INDEX($E$18:$E$30,MATCH(AQ68,$B$18:$B$30,0)),"No")="Yes",IF(AND(OR($B$3="Stage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Girls"))),$B$5&gt;20),MIN(3,MAX(2,Setup!$B$14)),2))*2),AQ68=$E$5,IF(AND(OR($B$3="Stage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Girls"))),$B$5&gt;20),MIN(3,MAX(2,Setup!$B$14)),2))*2-1))),AQ68=$E$4,TRUE)),COUNTIF($C$32:$C67,AQ68)&lt;$B$6,IF($BI68,COUNTIF($C$32:$C67,AQ68)&lt;IF($B$3="Stage 1",MIN($B$6,MAX(1,INT($B$5/$B$11))),IF(AND($B$3="Stage 3",$B$5=20,$B$11&gt;11),1,IF(AND($B$3="Stage 3",OR($B$15="Year 10-11-12 Girls"),$B$5&gt;20),MAX(2,Setup!$B$14),Setup!$B$14))),IF(AND($B$3&lt;&gt;"Stage 2",$B$3&lt;&gt;"Stage 3"),TRUE,IF($U68,TRUE,COUNTIF($C$32:$C67,AQ68)&lt;IF(AND($B$3="Stage 2",$B$5=20,AQ68=$E$5,$A68&lt;=IF($B$8="One Keeper",$B$5,$B$8)),2,IF(AND(OR($B$3="Stage 2",AND($B$3="Stage 3",OR($B$15="Year 10-11-12 Girls"))),AQ68=$E$5,$A68&lt;=IF($B$8="One Keeper",$B$5,$B$8)),3,$B$9)))))))</f>
        <v>0</v>
      </c>
      <c r="BE68" s="20" t="b">
        <f>IF(AR68="",FALSE,AND(AR68&lt;&gt;$B68,AR68&lt;&gt;$C67,IFERROR(INDEX($E$18:$E$30,MATCH(AR68,$B$18:$B$30,0)),"No")="Yes",IF(AND(OR($B$3="Stage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Girls"))),$B$5&gt;20),MIN(3,MAX(2,Setup!$B$14)),2))*2),AR68=$E$5,IF(AND(OR($B$3="Stage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Girls"))),$B$5&gt;20),MIN(3,MAX(2,Setup!$B$14)),2))*2-1))),AR68=$E$4,TRUE)),COUNTIF($C$32:$C67,AR68)&lt;$B$6,IF($BI68,COUNTIF($C$32:$C67,AR68)&lt;IF($B$3="Stage 1",MIN($B$6,MAX(1,INT($B$5/$B$11))),IF(AND($B$3="Stage 3",$B$5=20,$B$11&gt;11),1,IF(AND($B$3="Stage 3",OR($B$15="Year 10-11-12 Girls"),$B$5&gt;20),MAX(2,Setup!$B$14),Setup!$B$14))),IF(AND($B$3&lt;&gt;"Stage 2",$B$3&lt;&gt;"Stage 3"),TRUE,IF($U68,TRUE,COUNTIF($C$32:$C67,AR68)&lt;IF(AND($B$3="Stage 2",$B$5=20,AR68=$E$5,$A68&lt;=IF($B$8="One Keeper",$B$5,$B$8)),2,IF(AND(OR($B$3="Stage 2",AND($B$3="Stage 3",OR($B$15="Year 10-11-12 Girls"))),AR68=$E$5,$A68&lt;=IF($B$8="One Keeper",$B$5,$B$8)),3,$B$9)))))))</f>
        <v>0</v>
      </c>
      <c r="BF68" s="20" t="b">
        <f>IF(AS68="",FALSE,AND(AS68&lt;&gt;$B68,AS68&lt;&gt;$C67,IFERROR(INDEX($E$18:$E$30,MATCH(AS68,$B$18:$B$30,0)),"No")="Yes",IF(AND(OR($B$3="Stage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Girls"))),$B$5&gt;20),MIN(3,MAX(2,Setup!$B$14)),2))*2),AS68=$E$5,IF(AND(OR($B$3="Stage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Girls"))),$B$5&gt;20),MIN(3,MAX(2,Setup!$B$14)),2))*2-1))),AS68=$E$4,TRUE)),COUNTIF($C$32:$C67,AS68)&lt;$B$6,IF($BI68,COUNTIF($C$32:$C67,AS68)&lt;IF($B$3="Stage 1",MIN($B$6,MAX(1,INT($B$5/$B$11))),IF(AND($B$3="Stage 3",$B$5=20,$B$11&gt;11),1,IF(AND($B$3="Stage 3",OR($B$15="Year 10-11-12 Girls"),$B$5&gt;20),MAX(2,Setup!$B$14),Setup!$B$14))),IF(AND($B$3&lt;&gt;"Stage 2",$B$3&lt;&gt;"Stage 3"),TRUE,IF($U68,TRUE,COUNTIF($C$32:$C67,AS68)&lt;IF(AND($B$3="Stage 2",$B$5=20,AS68=$E$5,$A68&lt;=IF($B$8="One Keeper",$B$5,$B$8)),2,IF(AND(OR($B$3="Stage 2",AND($B$3="Stage 3",OR($B$15="Year 10-11-12 Girls"))),AS68=$E$5,$A68&lt;=IF($B$8="One Keeper",$B$5,$B$8)),3,$B$9)))))))</f>
        <v>0</v>
      </c>
      <c r="BG68" s="20" t="b">
        <f>IF(AT68="",FALSE,AND(AT68&lt;&gt;$B68,AT68&lt;&gt;$C67,IFERROR(INDEX($E$18:$E$30,MATCH(AT68,$B$18:$B$30,0)),"No")="Yes",IF(AND(OR($B$3="Stage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Girls"))),$B$5&gt;20),MIN(3,MAX(2,Setup!$B$14)),2))*2),AT68=$E$5,IF(AND(OR($B$3="Stage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Girls"))),$B$5&gt;20),MIN(3,MAX(2,Setup!$B$14)),2))*2-1))),AT68=$E$4,TRUE)),COUNTIF($C$32:$C67,AT68)&lt;$B$6,IF($BI68,COUNTIF($C$32:$C67,AT68)&lt;IF($B$3="Stage 1",MIN($B$6,MAX(1,INT($B$5/$B$11))),IF(AND($B$3="Stage 3",$B$5=20,$B$11&gt;11),1,IF(AND($B$3="Stage 3",OR($B$15="Year 10-11-12 Girls"),$B$5&gt;20),MAX(2,Setup!$B$14),Setup!$B$14))),IF(AND($B$3&lt;&gt;"Stage 2",$B$3&lt;&gt;"Stage 3"),TRUE,IF($U68,TRUE,COUNTIF($C$32:$C67,AT68)&lt;IF(AND($B$3="Stage 2",$B$5=20,AT68=$E$5,$A68&lt;=IF($B$8="One Keeper",$B$5,$B$8)),2,IF(AND(OR($B$3="Stage 2",AND($B$3="Stage 3",OR($B$15="Year 10-11-12 Girls"))),AT68=$E$5,$A68&lt;=IF($B$8="One Keeper",$B$5,$B$8)),3,$B$9)))))))</f>
        <v>0</v>
      </c>
      <c r="BH68" s="20" t="b">
        <f>IF(AU68="",FALSE,AND(AU68&lt;&gt;$B68,AU68&lt;&gt;$C67,IFERROR(INDEX($E$18:$E$30,MATCH(AU68,$B$18:$B$30,0)),"No")="Yes",IF(AND(OR($B$3="Stage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Girls"))),$B$5&gt;20),MIN(3,MAX(2,Setup!$B$14)),2))*2),AU68=$E$5,IF(AND(OR($B$3="Stage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Girls"))),$B$5&gt;20),MIN(3,MAX(2,Setup!$B$14)),2))*2-1))),AU68=$E$4,TRUE)),COUNTIF($C$32:$C67,AU68)&lt;$B$6,IF($BI68,COUNTIF($C$32:$C67,AU68)&lt;IF($B$3="Stage 1",MIN($B$6,MAX(1,INT($B$5/$B$11))),IF(AND($B$3="Stage 3",$B$5=20,$B$11&gt;11),1,IF(AND($B$3="Stage 3",OR($B$15="Year 10-11-12 Girls"),$B$5&gt;20),MAX(2,Setup!$B$14),Setup!$B$14))),IF(AND($B$3&lt;&gt;"Stage 2",$B$3&lt;&gt;"Stage 3"),TRUE,IF($U68,TRUE,COUNTIF($C$32:$C67,AU68)&lt;IF(AND($B$3="Stage 2",$B$5=20,AU68=$E$5,$A68&lt;=IF($B$8="One Keeper",$B$5,$B$8)),2,IF(AND(OR($B$3="Stage 2",AND($B$3="Stage 3",OR($B$15="Year 10-11-12 Girls"))),AU68=$E$5,$A68&lt;=IF($B$8="One Keeper",$B$5,$B$8)),3,$B$9)))))))</f>
        <v>0</v>
      </c>
      <c r="BI68"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Keeper",$E$4&lt;&gt;$E$5,$A68&lt;=IF($B$8="One Keeper",$B$5,$B$8),COUNTIF($C$32:$C67,$E$5)&lt;IF(AND($B$3="Stage 3",$B$5=20,$B$11&gt;11),1,IF(AND(OR($B$3="Stage 2",AND($B$3="Stage 3",OR($B$15="Year 10-11-12 Girls"))),$B$5&gt;20),MIN(3,MAX(2,Setup!$B$14)),2)),IFERROR(INDEX($E$18:$E$30,MATCH($E$5,$B$18:$B$30,0)),"No")="Yes",$C67&lt;&gt;$E$5,MOD($A68,2)=0,$A68&lt;=IF(AND($B$3="Stage 3",$B$5=20,$B$11&gt;11),1,IF(AND(OR($B$3="Stage 2",AND($B$3="Stage 3",OR($B$15="Year 10-11-12 Girls"))),$B$5&gt;20),MIN(3,MAX(2,Setup!$B$14)),2))*2),AND(OR($B$3="Stage 1",$B$3="Stage 2",AND($B$3="Stage 3",OR(OR($B$15="Year 10-11-12 Girls"),OR($B$15="Year 8 Boys",$B$15="Year 9 Boys",$B$15="Year 10-11 Boys")))),$B$8&lt;&gt;"One Keeper",$E$4&lt;&gt;$E$5,$A68&gt;IF($B$8="One Keeper",$B$5,$B$8),COUNTIF($C$32:$C67,$E$4)&lt;IF(AND($B$3="Stage 3",$B$5=20,$B$11&gt;11),1,IF(AND(OR($B$3="Stage 2",AND($B$3="Stage 3",OR($B$15="Year 10-11-12 Girls"))),$B$5&gt;20),MIN(3,MAX(2,Setup!$B$14)),2)),IFERROR(INDEX($E$18:$E$30,MATCH($E$4,$B$18:$B$30,0)),"No")="Yes",$C67&lt;&gt;$E$4,IF($B$7="Three-over spell",AND(MOD($A68-IF($B$8="One Keeper",$B$5,$B$8)-1,3)=0,($A68-IF($B$8="One Keeper",$B$5,$B$8))&lt;=1+(IF(AND($B$3="Stage 3",$B$5=20,$B$11&gt;11),1,IF(AND(OR($B$3="Stage 2",AND($B$3="Stage 3",OR($B$15="Year 10-11-12 Girls"))),$B$5&gt;20),MIN(3,MAX(2,Setup!$B$14)),2))-1)*3),AND(MOD($A68-IF($B$8="One Keeper",$B$5,$B$8),2)=1,($A68-IF($B$8="One Keeper",$B$5,$B$8))&lt;=IF(AND($B$3="Stage 3",$B$5=20,$B$11&gt;11),1,IF(AND(OR($B$3="Stage 2",AND($B$3="Stage 3",OR($B$15="Year 10-11-12 Girls"))),$B$5&gt;20),MIN(3,MAX(2,Setup!$B$14)),2))*2-1))))),OR($U68,AND($B$3="Stage 3",$B$5=20,$B$11&gt;11)),OR($BJ68,$BK68,$BL68,$BM68,$BN68,$BO68,$BP68,$BQ68,$BR68,$BS68,$BT68,$BU68,$BV68))</f>
        <v>0</v>
      </c>
      <c r="BJ68" s="20" t="b">
        <f>IF(AI68="",FALSE,AND(AI68&lt;&gt;IF(AND($B$3="Stage 3",OR($B$15="Year 8 Boys",$B$15="Year 9 Boys",$B$15="Year 10-11 Boys"),$B$8="One Keeper"),$E$4,""),AI68&lt;&gt;$B68,AI68&lt;&gt;$C67,IFERROR(INDEX($E$18:$E$30,MATCH(AI68,$B$18:$B$30,0)),"No")="Yes",COUNTIF($C$32:$C67,AI68)&lt;$B$6,COUNTIF($C$32:$C67,AI68)&lt;IF($B$3="Stage 1",MIN($B$6,MAX(1,INT($B$5/$B$11))),IF(AND($B$3="Stage 3",$B$5=20,$B$11&gt;11),1,IF(AND($B$3="Stage 3",OR($B$15="Year 10-11-12 Girls"),$B$5&gt;20),MAX(2,Setup!$B$14),Setup!$B$14)))))</f>
        <v>0</v>
      </c>
      <c r="BK68" s="20" t="b">
        <f>IF(AJ68="",FALSE,AND(AJ68&lt;&gt;IF(AND($B$3="Stage 3",OR($B$15="Year 8 Boys",$B$15="Year 9 Boys",$B$15="Year 10-11 Boys"),$B$8="One Keeper"),$E$4,""),AJ68&lt;&gt;$B68,AJ68&lt;&gt;$C67,IFERROR(INDEX($E$18:$E$30,MATCH(AJ68,$B$18:$B$30,0)),"No")="Yes",COUNTIF($C$32:$C67,AJ68)&lt;$B$6,COUNTIF($C$32:$C67,AJ68)&lt;IF($B$3="Stage 1",MIN($B$6,MAX(1,INT($B$5/$B$11))),IF(AND($B$3="Stage 3",$B$5=20,$B$11&gt;11),1,IF(AND($B$3="Stage 3",OR($B$15="Year 10-11-12 Girls"),$B$5&gt;20),MAX(2,Setup!$B$14),Setup!$B$14)))))</f>
        <v>0</v>
      </c>
      <c r="BL68" s="20" t="b">
        <f>IF(AK68="",FALSE,AND(AK68&lt;&gt;IF(AND($B$3="Stage 3",OR($B$15="Year 8 Boys",$B$15="Year 9 Boys",$B$15="Year 10-11 Boys"),$B$8="One Keeper"),$E$4,""),AK68&lt;&gt;$B68,AK68&lt;&gt;$C67,IFERROR(INDEX($E$18:$E$30,MATCH(AK68,$B$18:$B$30,0)),"No")="Yes",COUNTIF($C$32:$C67,AK68)&lt;$B$6,COUNTIF($C$32:$C67,AK68)&lt;IF($B$3="Stage 1",MIN($B$6,MAX(1,INT($B$5/$B$11))),IF(AND($B$3="Stage 3",$B$5=20,$B$11&gt;11),1,IF(AND($B$3="Stage 3",OR($B$15="Year 10-11-12 Girls"),$B$5&gt;20),MAX(2,Setup!$B$14),Setup!$B$14)))))</f>
        <v>0</v>
      </c>
      <c r="BM68" s="20" t="b">
        <f>IF(AL68="",FALSE,AND(AL68&lt;&gt;IF(AND($B$3="Stage 3",OR($B$15="Year 8 Boys",$B$15="Year 9 Boys",$B$15="Year 10-11 Boys"),$B$8="One Keeper"),$E$4,""),AL68&lt;&gt;$B68,AL68&lt;&gt;$C67,IFERROR(INDEX($E$18:$E$30,MATCH(AL68,$B$18:$B$30,0)),"No")="Yes",COUNTIF($C$32:$C67,AL68)&lt;$B$6,COUNTIF($C$32:$C67,AL68)&lt;IF($B$3="Stage 1",MIN($B$6,MAX(1,INT($B$5/$B$11))),IF(AND($B$3="Stage 3",$B$5=20,$B$11&gt;11),1,IF(AND($B$3="Stage 3",OR($B$15="Year 10-11-12 Girls"),$B$5&gt;20),MAX(2,Setup!$B$14),Setup!$B$14)))))</f>
        <v>0</v>
      </c>
      <c r="BN68" s="20" t="b">
        <f>IF(AM68="",FALSE,AND(AM68&lt;&gt;IF(AND($B$3="Stage 3",OR($B$15="Year 8 Boys",$B$15="Year 9 Boys",$B$15="Year 10-11 Boys"),$B$8="One Keeper"),$E$4,""),AM68&lt;&gt;$B68,AM68&lt;&gt;$C67,IFERROR(INDEX($E$18:$E$30,MATCH(AM68,$B$18:$B$30,0)),"No")="Yes",COUNTIF($C$32:$C67,AM68)&lt;$B$6,COUNTIF($C$32:$C67,AM68)&lt;IF($B$3="Stage 1",MIN($B$6,MAX(1,INT($B$5/$B$11))),IF(AND($B$3="Stage 3",$B$5=20,$B$11&gt;11),1,IF(AND($B$3="Stage 3",OR($B$15="Year 10-11-12 Girls"),$B$5&gt;20),MAX(2,Setup!$B$14),Setup!$B$14)))))</f>
        <v>0</v>
      </c>
      <c r="BO68" s="20" t="b">
        <f>IF(AN68="",FALSE,AND(AN68&lt;&gt;IF(AND($B$3="Stage 3",OR($B$15="Year 8 Boys",$B$15="Year 9 Boys",$B$15="Year 10-11 Boys"),$B$8="One Keeper"),$E$4,""),AN68&lt;&gt;$B68,AN68&lt;&gt;$C67,IFERROR(INDEX($E$18:$E$30,MATCH(AN68,$B$18:$B$30,0)),"No")="Yes",COUNTIF($C$32:$C67,AN68)&lt;$B$6,COUNTIF($C$32:$C67,AN68)&lt;IF($B$3="Stage 1",MIN($B$6,MAX(1,INT($B$5/$B$11))),IF(AND($B$3="Stage 3",$B$5=20,$B$11&gt;11),1,IF(AND($B$3="Stage 3",OR($B$15="Year 10-11-12 Girls"),$B$5&gt;20),MAX(2,Setup!$B$14),Setup!$B$14)))))</f>
        <v>0</v>
      </c>
      <c r="BP68" s="20" t="b">
        <f>IF(AO68="",FALSE,AND(AO68&lt;&gt;IF(AND($B$3="Stage 3",OR($B$15="Year 8 Boys",$B$15="Year 9 Boys",$B$15="Year 10-11 Boys"),$B$8="One Keeper"),$E$4,""),AO68&lt;&gt;$B68,AO68&lt;&gt;$C67,IFERROR(INDEX($E$18:$E$30,MATCH(AO68,$B$18:$B$30,0)),"No")="Yes",COUNTIF($C$32:$C67,AO68)&lt;$B$6,COUNTIF($C$32:$C67,AO68)&lt;IF($B$3="Stage 1",MIN($B$6,MAX(1,INT($B$5/$B$11))),IF(AND($B$3="Stage 3",$B$5=20,$B$11&gt;11),1,IF(AND($B$3="Stage 3",OR($B$15="Year 10-11-12 Girls"),$B$5&gt;20),MAX(2,Setup!$B$14),Setup!$B$14)))))</f>
        <v>0</v>
      </c>
      <c r="BQ68" s="20" t="b">
        <f>IF(AP68="",FALSE,AND(AP68&lt;&gt;IF(AND($B$3="Stage 3",OR($B$15="Year 8 Boys",$B$15="Year 9 Boys",$B$15="Year 10-11 Boys"),$B$8="One Keeper"),$E$4,""),AP68&lt;&gt;$B68,AP68&lt;&gt;$C67,IFERROR(INDEX($E$18:$E$30,MATCH(AP68,$B$18:$B$30,0)),"No")="Yes",COUNTIF($C$32:$C67,AP68)&lt;$B$6,COUNTIF($C$32:$C67,AP68)&lt;IF($B$3="Stage 1",MIN($B$6,MAX(1,INT($B$5/$B$11))),IF(AND($B$3="Stage 3",$B$5=20,$B$11&gt;11),1,IF(AND($B$3="Stage 3",OR($B$15="Year 10-11-12 Girls"),$B$5&gt;20),MAX(2,Setup!$B$14),Setup!$B$14)))))</f>
        <v>0</v>
      </c>
      <c r="BR68" s="20" t="b">
        <f>IF(AQ68="",FALSE,AND(AQ68&lt;&gt;IF(AND($B$3="Stage 3",OR($B$15="Year 8 Boys",$B$15="Year 9 Boys",$B$15="Year 10-11 Boys"),$B$8="One Keeper"),$E$4,""),AQ68&lt;&gt;$B68,AQ68&lt;&gt;$C67,IFERROR(INDEX($E$18:$E$30,MATCH(AQ68,$B$18:$B$30,0)),"No")="Yes",COUNTIF($C$32:$C67,AQ68)&lt;$B$6,COUNTIF($C$32:$C67,AQ68)&lt;IF($B$3="Stage 1",MIN($B$6,MAX(1,INT($B$5/$B$11))),IF(AND($B$3="Stage 3",$B$5=20,$B$11&gt;11),1,IF(AND($B$3="Stage 3",OR($B$15="Year 10-11-12 Girls"),$B$5&gt;20),MAX(2,Setup!$B$14),Setup!$B$14)))))</f>
        <v>0</v>
      </c>
      <c r="BS68" s="20" t="b">
        <f>IF(AR68="",FALSE,AND(AR68&lt;&gt;IF(AND($B$3="Stage 3",OR($B$15="Year 8 Boys",$B$15="Year 9 Boys",$B$15="Year 10-11 Boys"),$B$8="One Keeper"),$E$4,""),AR68&lt;&gt;$B68,AR68&lt;&gt;$C67,IFERROR(INDEX($E$18:$E$30,MATCH(AR68,$B$18:$B$30,0)),"No")="Yes",COUNTIF($C$32:$C67,AR68)&lt;$B$6,COUNTIF($C$32:$C67,AR68)&lt;IF($B$3="Stage 1",MIN($B$6,MAX(1,INT($B$5/$B$11))),IF(AND($B$3="Stage 3",$B$5=20,$B$11&gt;11),1,IF(AND($B$3="Stage 3",OR($B$15="Year 10-11-12 Girls"),$B$5&gt;20),MAX(2,Setup!$B$14),Setup!$B$14)))))</f>
        <v>0</v>
      </c>
      <c r="BT68" s="20" t="b">
        <f>IF(AS68="",FALSE,AND(AS68&lt;&gt;IF(AND($B$3="Stage 3",OR($B$15="Year 8 Boys",$B$15="Year 9 Boys",$B$15="Year 10-11 Boys"),$B$8="One Keeper"),$E$4,""),AS68&lt;&gt;$B68,AS68&lt;&gt;$C67,IFERROR(INDEX($E$18:$E$30,MATCH(AS68,$B$18:$B$30,0)),"No")="Yes",COUNTIF($C$32:$C67,AS68)&lt;$B$6,COUNTIF($C$32:$C67,AS68)&lt;IF($B$3="Stage 1",MIN($B$6,MAX(1,INT($B$5/$B$11))),IF(AND($B$3="Stage 3",$B$5=20,$B$11&gt;11),1,IF(AND($B$3="Stage 3",OR($B$15="Year 10-11-12 Girls"),$B$5&gt;20),MAX(2,Setup!$B$14),Setup!$B$14)))))</f>
        <v>0</v>
      </c>
      <c r="BU68" s="20" t="b">
        <f>IF(AT68="",FALSE,AND(AT68&lt;&gt;IF(AND($B$3="Stage 3",OR($B$15="Year 8 Boys",$B$15="Year 9 Boys",$B$15="Year 10-11 Boys"),$B$8="One Keeper"),$E$4,""),AT68&lt;&gt;$B68,AT68&lt;&gt;$C67,IFERROR(INDEX($E$18:$E$30,MATCH(AT68,$B$18:$B$30,0)),"No")="Yes",COUNTIF($C$32:$C67,AT68)&lt;$B$6,COUNTIF($C$32:$C67,AT68)&lt;IF($B$3="Stage 1",MIN($B$6,MAX(1,INT($B$5/$B$11))),IF(AND($B$3="Stage 3",$B$5=20,$B$11&gt;11),1,IF(AND($B$3="Stage 3",OR($B$15="Year 10-11-12 Girls"),$B$5&gt;20),MAX(2,Setup!$B$14),Setup!$B$14)))))</f>
        <v>0</v>
      </c>
      <c r="BV68" s="20" t="b">
        <f>IF(AU68="",FALSE,AND(AU68&lt;&gt;IF(AND($B$3="Stage 3",OR($B$15="Year 8 Boys",$B$15="Year 9 Boys",$B$15="Year 10-11 Boys"),$B$8="One Keeper"),$E$4,""),AU68&lt;&gt;$B68,AU68&lt;&gt;$C67,IFERROR(INDEX($E$18:$E$30,MATCH(AU68,$B$18:$B$30,0)),"No")="Yes",COUNTIF($C$32:$C67,AU68)&lt;$B$6,COUNTIF($C$32:$C67,AU68)&lt;IF($B$3="Stage 1",MIN($B$6,MAX(1,INT($B$5/$B$11))),IF(AND($B$3="Stage 3",$B$5=20,$B$11&gt;11),1,IF(AND($B$3="Stage 3",OR($B$15="Year 10-11-12 Girls"),$B$5&gt;20),MAX(2,Setup!$B$14),Setup!$B$14)))))</f>
        <v>0</v>
      </c>
      <c r="BW68" s="20"/>
      <c r="BX68" s="20"/>
      <c r="BY68" s="20"/>
      <c r="BZ68" s="20"/>
      <c r="CA68" s="20"/>
      <c r="CB68" s="20"/>
      <c r="CC68" s="20"/>
      <c r="CD68" s="20"/>
      <c r="CE68" s="20"/>
      <c r="CF68" s="20"/>
      <c r="CG68" s="20"/>
      <c r="CH68" s="20"/>
      <c r="CI68" s="20"/>
      <c r="CJ68" s="20"/>
      <c r="CK68" s="20"/>
    </row>
    <row r="69" spans="1:89" ht="15" customHeight="1">
      <c r="A69" s="18">
        <v>38</v>
      </c>
      <c r="B69" s="18" t="str">
        <f t="shared" si="5"/>
        <v/>
      </c>
      <c r="C69" s="18" t="str">
        <f t="shared" si="6"/>
        <v/>
      </c>
      <c r="D69" s="18">
        <f t="shared" si="7"/>
        <v>8</v>
      </c>
      <c r="E69" s="18" t="str">
        <f>IF($C69="","",COUNTIF($C$32:C69,$C69))</f>
        <v/>
      </c>
      <c r="F69" s="18" t="str">
        <f t="shared" si="8"/>
        <v/>
      </c>
      <c r="T69" s="20" t="str">
        <f t="shared" si="15"/>
        <v/>
      </c>
      <c r="U69" s="20" t="b">
        <f>IF(OR($B$3="Stage 2",AND($B$3="Stage 3",OR($B$15="Year 10-11-12 Girls"))),(IF(AND($P$18&lt;&gt;"",$P$18&lt;&gt;$E$4,COUNTIF($C$32:$C68,$P$18)&gt;=2),1,0)+IF(AND($P$19&lt;&gt;"",$P$19&lt;&gt;$E$4,COUNTIF($C$32:$C68,$P$19)&gt;=2),1,0)+IF(AND($P$20&lt;&gt;"",$P$20&lt;&gt;$E$4,COUNTIF($C$32:$C68,$P$20)&gt;=2),1,0)+IF(AND($P$21&lt;&gt;"",$P$21&lt;&gt;$E$4,COUNTIF($C$32:$C68,$P$21)&gt;=2),1,0)+IF(AND($P$22&lt;&gt;"",$P$22&lt;&gt;$E$4,COUNTIF($C$32:$C68,$P$22)&gt;=2),1,0)+IF(AND($P$23&lt;&gt;"",$P$23&lt;&gt;$E$4,COUNTIF($C$32:$C68,$P$23)&gt;=2),1,0)+IF(AND($P$24&lt;&gt;"",$P$24&lt;&gt;$E$4,COUNTIF($C$32:$C68,$P$24)&gt;=2),1,0)+IF(AND($P$25&lt;&gt;"",$P$25&lt;&gt;$E$4,COUNTIF($C$32:$C68,$P$25)&gt;=2),1,0)+IF(AND($P$26&lt;&gt;"",$P$26&lt;&gt;$E$4,COUNTIF($C$32:$C68,$P$26)&gt;=2),1,0)+IF(AND($P$27&lt;&gt;"",$P$27&lt;&gt;$E$4,COUNTIF($C$32:$C68,$P$27)&gt;=2),1,0)+IF(AND($P$28&lt;&gt;"",$P$28&lt;&gt;$E$4,COUNTIF($C$32:$C68,$P$28)&gt;=2),1,0)+IF(AND($P$29&lt;&gt;"",$P$29&lt;&gt;$E$4,COUNTIF($C$32:$C68,$P$29)&gt;=2),1,0)+IF(AND($P$30&lt;&gt;"",$P$30&lt;&gt;$E$4,COUNTIF($C$32:$C68,$P$30)&gt;=2),1,0))&gt;=MAX(0,$B$11-1),IF(AND($B$3="Stage 3",OR($B$15="Year 8 Boys",$B$15="Year 9 Boys",$B$15="Year 10-11 Boys")),(IF(AND($P$18&lt;&gt;"",COUNTIF($C$32:$C68,$P$18)&gt;=2),1,0)+IF(AND($P$19&lt;&gt;"",COUNTIF($C$32:$C68,$P$19)&gt;=2),1,0)+IF(AND($P$20&lt;&gt;"",COUNTIF($C$32:$C68,$P$20)&gt;=2),1,0)+IF(AND($P$21&lt;&gt;"",COUNTIF($C$32:$C68,$P$21)&gt;=2),1,0)+IF(AND($P$22&lt;&gt;"",COUNTIF($C$32:$C68,$P$22)&gt;=2),1,0)+IF(AND($P$23&lt;&gt;"",COUNTIF($C$32:$C68,$P$23)&gt;=2),1,0)+IF(AND($P$24&lt;&gt;"",COUNTIF($C$32:$C68,$P$24)&gt;=2),1,0)+IF(AND($P$25&lt;&gt;"",COUNTIF($C$32:$C68,$P$25)&gt;=2),1,0)+IF(AND($P$26&lt;&gt;"",COUNTIF($C$32:$C68,$P$26)&gt;=2),1,0)+IF(AND($P$27&lt;&gt;"",COUNTIF($C$32:$C68,$P$27)&gt;=2),1,0)+IF(AND($P$28&lt;&gt;"",COUNTIF($C$32:$C68,$P$28)&gt;=2),1,0)+IF(AND($P$29&lt;&gt;"",COUNTIF($C$32:$C68,$P$29)&gt;=2),1,0)+IF(AND($P$30&lt;&gt;"",COUNTIF($C$32:$C68,$P$30)&gt;=2),1,0))&gt;=7,TRUE))</f>
        <v>1</v>
      </c>
      <c r="V69" s="20" t="str">
        <f t="shared" si="32"/>
        <v/>
      </c>
      <c r="W69" s="20" t="str">
        <f t="shared" si="32"/>
        <v/>
      </c>
      <c r="X69" s="20" t="str">
        <f t="shared" si="32"/>
        <v/>
      </c>
      <c r="Y69" s="20" t="str">
        <f t="shared" si="32"/>
        <v/>
      </c>
      <c r="Z69" s="20" t="str">
        <f t="shared" si="32"/>
        <v/>
      </c>
      <c r="AA69" s="20" t="str">
        <f t="shared" si="32"/>
        <v/>
      </c>
      <c r="AB69" s="20" t="str">
        <f t="shared" si="32"/>
        <v/>
      </c>
      <c r="AC69" s="20" t="str">
        <f t="shared" si="32"/>
        <v/>
      </c>
      <c r="AD69" s="20" t="str">
        <f t="shared" si="32"/>
        <v/>
      </c>
      <c r="AE69" s="20" t="str">
        <f t="shared" si="32"/>
        <v/>
      </c>
      <c r="AF69" s="20" t="str">
        <f t="shared" si="32"/>
        <v/>
      </c>
      <c r="AG69" s="20" t="str">
        <f t="shared" si="32"/>
        <v/>
      </c>
      <c r="AH69" s="20" t="str">
        <f t="shared" si="32"/>
        <v/>
      </c>
      <c r="AI69" s="20" t="str">
        <f t="shared" si="17"/>
        <v/>
      </c>
      <c r="AJ69" s="20" t="str">
        <f t="shared" si="18"/>
        <v/>
      </c>
      <c r="AK69" s="20" t="str">
        <f t="shared" si="19"/>
        <v/>
      </c>
      <c r="AL69" s="20" t="str">
        <f t="shared" si="20"/>
        <v/>
      </c>
      <c r="AM69" s="20" t="str">
        <f t="shared" si="21"/>
        <v/>
      </c>
      <c r="AN69" s="20" t="str">
        <f t="shared" si="22"/>
        <v/>
      </c>
      <c r="AO69" s="20" t="str">
        <f t="shared" si="23"/>
        <v/>
      </c>
      <c r="AP69" s="20" t="str">
        <f t="shared" si="24"/>
        <v/>
      </c>
      <c r="AQ69" s="20" t="str">
        <f t="shared" si="25"/>
        <v/>
      </c>
      <c r="AR69" s="20" t="str">
        <f t="shared" si="26"/>
        <v/>
      </c>
      <c r="AS69" s="20" t="str">
        <f t="shared" si="27"/>
        <v/>
      </c>
      <c r="AT69" s="20" t="str">
        <f t="shared" si="28"/>
        <v/>
      </c>
      <c r="AU69" s="20" t="str">
        <f t="shared" si="29"/>
        <v/>
      </c>
      <c r="AV69" s="20" t="b">
        <f>IF(AI69="",FALSE,AND(AI69&lt;&gt;$B69,AI69&lt;&gt;$C68,IFERROR(INDEX($E$18:$E$30,MATCH(AI69,$B$18:$B$30,0)),"No")="Yes",IF(AND(OR($B$3="Stage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Girls"))),$B$5&gt;20),MIN(3,MAX(2,Setup!$B$14)),2))*2),AI69=$E$5,IF(AND(OR($B$3="Stage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Girls"))),$B$5&gt;20),MIN(3,MAX(2,Setup!$B$14)),2))*2-1))),AI69=$E$4,TRUE)),COUNTIF($C$32:$C68,AI69)&lt;$B$6,IF($BI69,COUNTIF($C$32:$C68,AI69)&lt;IF($B$3="Stage 1",MIN($B$6,MAX(1,INT($B$5/$B$11))),IF(AND($B$3="Stage 3",$B$5=20,$B$11&gt;11),1,IF(AND($B$3="Stage 3",OR($B$15="Year 10-11-12 Girls"),$B$5&gt;20),MAX(2,Setup!$B$14),Setup!$B$14))),IF(AND($B$3&lt;&gt;"Stage 2",$B$3&lt;&gt;"Stage 3"),TRUE,IF($U69,TRUE,COUNTIF($C$32:$C68,AI69)&lt;IF(AND($B$3="Stage 2",$B$5=20,AI69=$E$5,$A69&lt;=IF($B$8="One Keeper",$B$5,$B$8)),2,IF(AND(OR($B$3="Stage 2",AND($B$3="Stage 3",OR($B$15="Year 10-11-12 Girls"))),AI69=$E$5,$A69&lt;=IF($B$8="One Keeper",$B$5,$B$8)),3,$B$9)))))))</f>
        <v>0</v>
      </c>
      <c r="AW69" s="20" t="b">
        <f>IF(AJ69="",FALSE,AND(AJ69&lt;&gt;$B69,AJ69&lt;&gt;$C68,IFERROR(INDEX($E$18:$E$30,MATCH(AJ69,$B$18:$B$30,0)),"No")="Yes",IF(AND(OR($B$3="Stage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Girls"))),$B$5&gt;20),MIN(3,MAX(2,Setup!$B$14)),2))*2),AJ69=$E$5,IF(AND(OR($B$3="Stage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Girls"))),$B$5&gt;20),MIN(3,MAX(2,Setup!$B$14)),2))*2-1))),AJ69=$E$4,TRUE)),COUNTIF($C$32:$C68,AJ69)&lt;$B$6,IF($BI69,COUNTIF($C$32:$C68,AJ69)&lt;IF($B$3="Stage 1",MIN($B$6,MAX(1,INT($B$5/$B$11))),IF(AND($B$3="Stage 3",$B$5=20,$B$11&gt;11),1,IF(AND($B$3="Stage 3",OR($B$15="Year 10-11-12 Girls"),$B$5&gt;20),MAX(2,Setup!$B$14),Setup!$B$14))),IF(AND($B$3&lt;&gt;"Stage 2",$B$3&lt;&gt;"Stage 3"),TRUE,IF($U69,TRUE,COUNTIF($C$32:$C68,AJ69)&lt;IF(AND($B$3="Stage 2",$B$5=20,AJ69=$E$5,$A69&lt;=IF($B$8="One Keeper",$B$5,$B$8)),2,IF(AND(OR($B$3="Stage 2",AND($B$3="Stage 3",OR($B$15="Year 10-11-12 Girls"))),AJ69=$E$5,$A69&lt;=IF($B$8="One Keeper",$B$5,$B$8)),3,$B$9)))))))</f>
        <v>0</v>
      </c>
      <c r="AX69" s="20" t="b">
        <f>IF(AK69="",FALSE,AND(AK69&lt;&gt;$B69,AK69&lt;&gt;$C68,IFERROR(INDEX($E$18:$E$30,MATCH(AK69,$B$18:$B$30,0)),"No")="Yes",IF(AND(OR($B$3="Stage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Girls"))),$B$5&gt;20),MIN(3,MAX(2,Setup!$B$14)),2))*2),AK69=$E$5,IF(AND(OR($B$3="Stage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Girls"))),$B$5&gt;20),MIN(3,MAX(2,Setup!$B$14)),2))*2-1))),AK69=$E$4,TRUE)),COUNTIF($C$32:$C68,AK69)&lt;$B$6,IF($BI69,COUNTIF($C$32:$C68,AK69)&lt;IF($B$3="Stage 1",MIN($B$6,MAX(1,INT($B$5/$B$11))),IF(AND($B$3="Stage 3",$B$5=20,$B$11&gt;11),1,IF(AND($B$3="Stage 3",OR($B$15="Year 10-11-12 Girls"),$B$5&gt;20),MAX(2,Setup!$B$14),Setup!$B$14))),IF(AND($B$3&lt;&gt;"Stage 2",$B$3&lt;&gt;"Stage 3"),TRUE,IF($U69,TRUE,COUNTIF($C$32:$C68,AK69)&lt;IF(AND($B$3="Stage 2",$B$5=20,AK69=$E$5,$A69&lt;=IF($B$8="One Keeper",$B$5,$B$8)),2,IF(AND(OR($B$3="Stage 2",AND($B$3="Stage 3",OR($B$15="Year 10-11-12 Girls"))),AK69=$E$5,$A69&lt;=IF($B$8="One Keeper",$B$5,$B$8)),3,$B$9)))))))</f>
        <v>0</v>
      </c>
      <c r="AY69" s="20" t="b">
        <f>IF(AL69="",FALSE,AND(AL69&lt;&gt;$B69,AL69&lt;&gt;$C68,IFERROR(INDEX($E$18:$E$30,MATCH(AL69,$B$18:$B$30,0)),"No")="Yes",IF(AND(OR($B$3="Stage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Girls"))),$B$5&gt;20),MIN(3,MAX(2,Setup!$B$14)),2))*2),AL69=$E$5,IF(AND(OR($B$3="Stage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Girls"))),$B$5&gt;20),MIN(3,MAX(2,Setup!$B$14)),2))*2-1))),AL69=$E$4,TRUE)),COUNTIF($C$32:$C68,AL69)&lt;$B$6,IF($BI69,COUNTIF($C$32:$C68,AL69)&lt;IF($B$3="Stage 1",MIN($B$6,MAX(1,INT($B$5/$B$11))),IF(AND($B$3="Stage 3",$B$5=20,$B$11&gt;11),1,IF(AND($B$3="Stage 3",OR($B$15="Year 10-11-12 Girls"),$B$5&gt;20),MAX(2,Setup!$B$14),Setup!$B$14))),IF(AND($B$3&lt;&gt;"Stage 2",$B$3&lt;&gt;"Stage 3"),TRUE,IF($U69,TRUE,COUNTIF($C$32:$C68,AL69)&lt;IF(AND($B$3="Stage 2",$B$5=20,AL69=$E$5,$A69&lt;=IF($B$8="One Keeper",$B$5,$B$8)),2,IF(AND(OR($B$3="Stage 2",AND($B$3="Stage 3",OR($B$15="Year 10-11-12 Girls"))),AL69=$E$5,$A69&lt;=IF($B$8="One Keeper",$B$5,$B$8)),3,$B$9)))))))</f>
        <v>0</v>
      </c>
      <c r="AZ69" s="20" t="b">
        <f>IF(AM69="",FALSE,AND(AM69&lt;&gt;$B69,AM69&lt;&gt;$C68,IFERROR(INDEX($E$18:$E$30,MATCH(AM69,$B$18:$B$30,0)),"No")="Yes",IF(AND(OR($B$3="Stage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Girls"))),$B$5&gt;20),MIN(3,MAX(2,Setup!$B$14)),2))*2),AM69=$E$5,IF(AND(OR($B$3="Stage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Girls"))),$B$5&gt;20),MIN(3,MAX(2,Setup!$B$14)),2))*2-1))),AM69=$E$4,TRUE)),COUNTIF($C$32:$C68,AM69)&lt;$B$6,IF($BI69,COUNTIF($C$32:$C68,AM69)&lt;IF($B$3="Stage 1",MIN($B$6,MAX(1,INT($B$5/$B$11))),IF(AND($B$3="Stage 3",$B$5=20,$B$11&gt;11),1,IF(AND($B$3="Stage 3",OR($B$15="Year 10-11-12 Girls"),$B$5&gt;20),MAX(2,Setup!$B$14),Setup!$B$14))),IF(AND($B$3&lt;&gt;"Stage 2",$B$3&lt;&gt;"Stage 3"),TRUE,IF($U69,TRUE,COUNTIF($C$32:$C68,AM69)&lt;IF(AND($B$3="Stage 2",$B$5=20,AM69=$E$5,$A69&lt;=IF($B$8="One Keeper",$B$5,$B$8)),2,IF(AND(OR($B$3="Stage 2",AND($B$3="Stage 3",OR($B$15="Year 10-11-12 Girls"))),AM69=$E$5,$A69&lt;=IF($B$8="One Keeper",$B$5,$B$8)),3,$B$9)))))))</f>
        <v>0</v>
      </c>
      <c r="BA69" s="20" t="b">
        <f>IF(AN69="",FALSE,AND(AN69&lt;&gt;$B69,AN69&lt;&gt;$C68,IFERROR(INDEX($E$18:$E$30,MATCH(AN69,$B$18:$B$30,0)),"No")="Yes",IF(AND(OR($B$3="Stage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Girls"))),$B$5&gt;20),MIN(3,MAX(2,Setup!$B$14)),2))*2),AN69=$E$5,IF(AND(OR($B$3="Stage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Girls"))),$B$5&gt;20),MIN(3,MAX(2,Setup!$B$14)),2))*2-1))),AN69=$E$4,TRUE)),COUNTIF($C$32:$C68,AN69)&lt;$B$6,IF($BI69,COUNTIF($C$32:$C68,AN69)&lt;IF($B$3="Stage 1",MIN($B$6,MAX(1,INT($B$5/$B$11))),IF(AND($B$3="Stage 3",$B$5=20,$B$11&gt;11),1,IF(AND($B$3="Stage 3",OR($B$15="Year 10-11-12 Girls"),$B$5&gt;20),MAX(2,Setup!$B$14),Setup!$B$14))),IF(AND($B$3&lt;&gt;"Stage 2",$B$3&lt;&gt;"Stage 3"),TRUE,IF($U69,TRUE,COUNTIF($C$32:$C68,AN69)&lt;IF(AND($B$3="Stage 2",$B$5=20,AN69=$E$5,$A69&lt;=IF($B$8="One Keeper",$B$5,$B$8)),2,IF(AND(OR($B$3="Stage 2",AND($B$3="Stage 3",OR($B$15="Year 10-11-12 Girls"))),AN69=$E$5,$A69&lt;=IF($B$8="One Keeper",$B$5,$B$8)),3,$B$9)))))))</f>
        <v>0</v>
      </c>
      <c r="BB69" s="20" t="b">
        <f>IF(AO69="",FALSE,AND(AO69&lt;&gt;$B69,AO69&lt;&gt;$C68,IFERROR(INDEX($E$18:$E$30,MATCH(AO69,$B$18:$B$30,0)),"No")="Yes",IF(AND(OR($B$3="Stage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Girls"))),$B$5&gt;20),MIN(3,MAX(2,Setup!$B$14)),2))*2),AO69=$E$5,IF(AND(OR($B$3="Stage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Girls"))),$B$5&gt;20),MIN(3,MAX(2,Setup!$B$14)),2))*2-1))),AO69=$E$4,TRUE)),COUNTIF($C$32:$C68,AO69)&lt;$B$6,IF($BI69,COUNTIF($C$32:$C68,AO69)&lt;IF($B$3="Stage 1",MIN($B$6,MAX(1,INT($B$5/$B$11))),IF(AND($B$3="Stage 3",$B$5=20,$B$11&gt;11),1,IF(AND($B$3="Stage 3",OR($B$15="Year 10-11-12 Girls"),$B$5&gt;20),MAX(2,Setup!$B$14),Setup!$B$14))),IF(AND($B$3&lt;&gt;"Stage 2",$B$3&lt;&gt;"Stage 3"),TRUE,IF($U69,TRUE,COUNTIF($C$32:$C68,AO69)&lt;IF(AND($B$3="Stage 2",$B$5=20,AO69=$E$5,$A69&lt;=IF($B$8="One Keeper",$B$5,$B$8)),2,IF(AND(OR($B$3="Stage 2",AND($B$3="Stage 3",OR($B$15="Year 10-11-12 Girls"))),AO69=$E$5,$A69&lt;=IF($B$8="One Keeper",$B$5,$B$8)),3,$B$9)))))))</f>
        <v>0</v>
      </c>
      <c r="BC69" s="20" t="b">
        <f>IF(AP69="",FALSE,AND(AP69&lt;&gt;$B69,AP69&lt;&gt;$C68,IFERROR(INDEX($E$18:$E$30,MATCH(AP69,$B$18:$B$30,0)),"No")="Yes",IF(AND(OR($B$3="Stage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Girls"))),$B$5&gt;20),MIN(3,MAX(2,Setup!$B$14)),2))*2),AP69=$E$5,IF(AND(OR($B$3="Stage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Girls"))),$B$5&gt;20),MIN(3,MAX(2,Setup!$B$14)),2))*2-1))),AP69=$E$4,TRUE)),COUNTIF($C$32:$C68,AP69)&lt;$B$6,IF($BI69,COUNTIF($C$32:$C68,AP69)&lt;IF($B$3="Stage 1",MIN($B$6,MAX(1,INT($B$5/$B$11))),IF(AND($B$3="Stage 3",$B$5=20,$B$11&gt;11),1,IF(AND($B$3="Stage 3",OR($B$15="Year 10-11-12 Girls"),$B$5&gt;20),MAX(2,Setup!$B$14),Setup!$B$14))),IF(AND($B$3&lt;&gt;"Stage 2",$B$3&lt;&gt;"Stage 3"),TRUE,IF($U69,TRUE,COUNTIF($C$32:$C68,AP69)&lt;IF(AND($B$3="Stage 2",$B$5=20,AP69=$E$5,$A69&lt;=IF($B$8="One Keeper",$B$5,$B$8)),2,IF(AND(OR($B$3="Stage 2",AND($B$3="Stage 3",OR($B$15="Year 10-11-12 Girls"))),AP69=$E$5,$A69&lt;=IF($B$8="One Keeper",$B$5,$B$8)),3,$B$9)))))))</f>
        <v>0</v>
      </c>
      <c r="BD69" s="20" t="b">
        <f>IF(AQ69="",FALSE,AND(AQ69&lt;&gt;$B69,AQ69&lt;&gt;$C68,IFERROR(INDEX($E$18:$E$30,MATCH(AQ69,$B$18:$B$30,0)),"No")="Yes",IF(AND(OR($B$3="Stage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Girls"))),$B$5&gt;20),MIN(3,MAX(2,Setup!$B$14)),2))*2),AQ69=$E$5,IF(AND(OR($B$3="Stage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Girls"))),$B$5&gt;20),MIN(3,MAX(2,Setup!$B$14)),2))*2-1))),AQ69=$E$4,TRUE)),COUNTIF($C$32:$C68,AQ69)&lt;$B$6,IF($BI69,COUNTIF($C$32:$C68,AQ69)&lt;IF($B$3="Stage 1",MIN($B$6,MAX(1,INT($B$5/$B$11))),IF(AND($B$3="Stage 3",$B$5=20,$B$11&gt;11),1,IF(AND($B$3="Stage 3",OR($B$15="Year 10-11-12 Girls"),$B$5&gt;20),MAX(2,Setup!$B$14),Setup!$B$14))),IF(AND($B$3&lt;&gt;"Stage 2",$B$3&lt;&gt;"Stage 3"),TRUE,IF($U69,TRUE,COUNTIF($C$32:$C68,AQ69)&lt;IF(AND($B$3="Stage 2",$B$5=20,AQ69=$E$5,$A69&lt;=IF($B$8="One Keeper",$B$5,$B$8)),2,IF(AND(OR($B$3="Stage 2",AND($B$3="Stage 3",OR($B$15="Year 10-11-12 Girls"))),AQ69=$E$5,$A69&lt;=IF($B$8="One Keeper",$B$5,$B$8)),3,$B$9)))))))</f>
        <v>0</v>
      </c>
      <c r="BE69" s="20" t="b">
        <f>IF(AR69="",FALSE,AND(AR69&lt;&gt;$B69,AR69&lt;&gt;$C68,IFERROR(INDEX($E$18:$E$30,MATCH(AR69,$B$18:$B$30,0)),"No")="Yes",IF(AND(OR($B$3="Stage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Girls"))),$B$5&gt;20),MIN(3,MAX(2,Setup!$B$14)),2))*2),AR69=$E$5,IF(AND(OR($B$3="Stage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Girls"))),$B$5&gt;20),MIN(3,MAX(2,Setup!$B$14)),2))*2-1))),AR69=$E$4,TRUE)),COUNTIF($C$32:$C68,AR69)&lt;$B$6,IF($BI69,COUNTIF($C$32:$C68,AR69)&lt;IF($B$3="Stage 1",MIN($B$6,MAX(1,INT($B$5/$B$11))),IF(AND($B$3="Stage 3",$B$5=20,$B$11&gt;11),1,IF(AND($B$3="Stage 3",OR($B$15="Year 10-11-12 Girls"),$B$5&gt;20),MAX(2,Setup!$B$14),Setup!$B$14))),IF(AND($B$3&lt;&gt;"Stage 2",$B$3&lt;&gt;"Stage 3"),TRUE,IF($U69,TRUE,COUNTIF($C$32:$C68,AR69)&lt;IF(AND($B$3="Stage 2",$B$5=20,AR69=$E$5,$A69&lt;=IF($B$8="One Keeper",$B$5,$B$8)),2,IF(AND(OR($B$3="Stage 2",AND($B$3="Stage 3",OR($B$15="Year 10-11-12 Girls"))),AR69=$E$5,$A69&lt;=IF($B$8="One Keeper",$B$5,$B$8)),3,$B$9)))))))</f>
        <v>0</v>
      </c>
      <c r="BF69" s="20" t="b">
        <f>IF(AS69="",FALSE,AND(AS69&lt;&gt;$B69,AS69&lt;&gt;$C68,IFERROR(INDEX($E$18:$E$30,MATCH(AS69,$B$18:$B$30,0)),"No")="Yes",IF(AND(OR($B$3="Stage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Girls"))),$B$5&gt;20),MIN(3,MAX(2,Setup!$B$14)),2))*2),AS69=$E$5,IF(AND(OR($B$3="Stage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Girls"))),$B$5&gt;20),MIN(3,MAX(2,Setup!$B$14)),2))*2-1))),AS69=$E$4,TRUE)),COUNTIF($C$32:$C68,AS69)&lt;$B$6,IF($BI69,COUNTIF($C$32:$C68,AS69)&lt;IF($B$3="Stage 1",MIN($B$6,MAX(1,INT($B$5/$B$11))),IF(AND($B$3="Stage 3",$B$5=20,$B$11&gt;11),1,IF(AND($B$3="Stage 3",OR($B$15="Year 10-11-12 Girls"),$B$5&gt;20),MAX(2,Setup!$B$14),Setup!$B$14))),IF(AND($B$3&lt;&gt;"Stage 2",$B$3&lt;&gt;"Stage 3"),TRUE,IF($U69,TRUE,COUNTIF($C$32:$C68,AS69)&lt;IF(AND($B$3="Stage 2",$B$5=20,AS69=$E$5,$A69&lt;=IF($B$8="One Keeper",$B$5,$B$8)),2,IF(AND(OR($B$3="Stage 2",AND($B$3="Stage 3",OR($B$15="Year 10-11-12 Girls"))),AS69=$E$5,$A69&lt;=IF($B$8="One Keeper",$B$5,$B$8)),3,$B$9)))))))</f>
        <v>0</v>
      </c>
      <c r="BG69" s="20" t="b">
        <f>IF(AT69="",FALSE,AND(AT69&lt;&gt;$B69,AT69&lt;&gt;$C68,IFERROR(INDEX($E$18:$E$30,MATCH(AT69,$B$18:$B$30,0)),"No")="Yes",IF(AND(OR($B$3="Stage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Girls"))),$B$5&gt;20),MIN(3,MAX(2,Setup!$B$14)),2))*2),AT69=$E$5,IF(AND(OR($B$3="Stage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Girls"))),$B$5&gt;20),MIN(3,MAX(2,Setup!$B$14)),2))*2-1))),AT69=$E$4,TRUE)),COUNTIF($C$32:$C68,AT69)&lt;$B$6,IF($BI69,COUNTIF($C$32:$C68,AT69)&lt;IF($B$3="Stage 1",MIN($B$6,MAX(1,INT($B$5/$B$11))),IF(AND($B$3="Stage 3",$B$5=20,$B$11&gt;11),1,IF(AND($B$3="Stage 3",OR($B$15="Year 10-11-12 Girls"),$B$5&gt;20),MAX(2,Setup!$B$14),Setup!$B$14))),IF(AND($B$3&lt;&gt;"Stage 2",$B$3&lt;&gt;"Stage 3"),TRUE,IF($U69,TRUE,COUNTIF($C$32:$C68,AT69)&lt;IF(AND($B$3="Stage 2",$B$5=20,AT69=$E$5,$A69&lt;=IF($B$8="One Keeper",$B$5,$B$8)),2,IF(AND(OR($B$3="Stage 2",AND($B$3="Stage 3",OR($B$15="Year 10-11-12 Girls"))),AT69=$E$5,$A69&lt;=IF($B$8="One Keeper",$B$5,$B$8)),3,$B$9)))))))</f>
        <v>0</v>
      </c>
      <c r="BH69" s="20" t="b">
        <f>IF(AU69="",FALSE,AND(AU69&lt;&gt;$B69,AU69&lt;&gt;$C68,IFERROR(INDEX($E$18:$E$30,MATCH(AU69,$B$18:$B$30,0)),"No")="Yes",IF(AND(OR($B$3="Stage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Girls"))),$B$5&gt;20),MIN(3,MAX(2,Setup!$B$14)),2))*2),AU69=$E$5,IF(AND(OR($B$3="Stage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Girls"))),$B$5&gt;20),MIN(3,MAX(2,Setup!$B$14)),2))*2-1))),AU69=$E$4,TRUE)),COUNTIF($C$32:$C68,AU69)&lt;$B$6,IF($BI69,COUNTIF($C$32:$C68,AU69)&lt;IF($B$3="Stage 1",MIN($B$6,MAX(1,INT($B$5/$B$11))),IF(AND($B$3="Stage 3",$B$5=20,$B$11&gt;11),1,IF(AND($B$3="Stage 3",OR($B$15="Year 10-11-12 Girls"),$B$5&gt;20),MAX(2,Setup!$B$14),Setup!$B$14))),IF(AND($B$3&lt;&gt;"Stage 2",$B$3&lt;&gt;"Stage 3"),TRUE,IF($U69,TRUE,COUNTIF($C$32:$C68,AU69)&lt;IF(AND($B$3="Stage 2",$B$5=20,AU69=$E$5,$A69&lt;=IF($B$8="One Keeper",$B$5,$B$8)),2,IF(AND(OR($B$3="Stage 2",AND($B$3="Stage 3",OR($B$15="Year 10-11-12 Girls"))),AU69=$E$5,$A69&lt;=IF($B$8="One Keeper",$B$5,$B$8)),3,$B$9)))))))</f>
        <v>0</v>
      </c>
      <c r="BI69"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Keeper",$E$4&lt;&gt;$E$5,$A69&lt;=IF($B$8="One Keeper",$B$5,$B$8),COUNTIF($C$32:$C68,$E$5)&lt;IF(AND($B$3="Stage 3",$B$5=20,$B$11&gt;11),1,IF(AND(OR($B$3="Stage 2",AND($B$3="Stage 3",OR($B$15="Year 10-11-12 Girls"))),$B$5&gt;20),MIN(3,MAX(2,Setup!$B$14)),2)),IFERROR(INDEX($E$18:$E$30,MATCH($E$5,$B$18:$B$30,0)),"No")="Yes",$C68&lt;&gt;$E$5,MOD($A69,2)=0,$A69&lt;=IF(AND($B$3="Stage 3",$B$5=20,$B$11&gt;11),1,IF(AND(OR($B$3="Stage 2",AND($B$3="Stage 3",OR($B$15="Year 10-11-12 Girls"))),$B$5&gt;20),MIN(3,MAX(2,Setup!$B$14)),2))*2),AND(OR($B$3="Stage 1",$B$3="Stage 2",AND($B$3="Stage 3",OR(OR($B$15="Year 10-11-12 Girls"),OR($B$15="Year 8 Boys",$B$15="Year 9 Boys",$B$15="Year 10-11 Boys")))),$B$8&lt;&gt;"One Keeper",$E$4&lt;&gt;$E$5,$A69&gt;IF($B$8="One Keeper",$B$5,$B$8),COUNTIF($C$32:$C68,$E$4)&lt;IF(AND($B$3="Stage 3",$B$5=20,$B$11&gt;11),1,IF(AND(OR($B$3="Stage 2",AND($B$3="Stage 3",OR($B$15="Year 10-11-12 Girls"))),$B$5&gt;20),MIN(3,MAX(2,Setup!$B$14)),2)),IFERROR(INDEX($E$18:$E$30,MATCH($E$4,$B$18:$B$30,0)),"No")="Yes",$C68&lt;&gt;$E$4,IF($B$7="Three-over spell",AND(MOD($A69-IF($B$8="One Keeper",$B$5,$B$8)-1,3)=0,($A69-IF($B$8="One Keeper",$B$5,$B$8))&lt;=1+(IF(AND($B$3="Stage 3",$B$5=20,$B$11&gt;11),1,IF(AND(OR($B$3="Stage 2",AND($B$3="Stage 3",OR($B$15="Year 10-11-12 Girls"))),$B$5&gt;20),MIN(3,MAX(2,Setup!$B$14)),2))-1)*3),AND(MOD($A69-IF($B$8="One Keeper",$B$5,$B$8),2)=1,($A69-IF($B$8="One Keeper",$B$5,$B$8))&lt;=IF(AND($B$3="Stage 3",$B$5=20,$B$11&gt;11),1,IF(AND(OR($B$3="Stage 2",AND($B$3="Stage 3",OR($B$15="Year 10-11-12 Girls"))),$B$5&gt;20),MIN(3,MAX(2,Setup!$B$14)),2))*2-1))))),OR($U69,AND($B$3="Stage 3",$B$5=20,$B$11&gt;11)),OR($BJ69,$BK69,$BL69,$BM69,$BN69,$BO69,$BP69,$BQ69,$BR69,$BS69,$BT69,$BU69,$BV69))</f>
        <v>0</v>
      </c>
      <c r="BJ69" s="20" t="b">
        <f>IF(AI69="",FALSE,AND(AI69&lt;&gt;IF(AND($B$3="Stage 3",OR($B$15="Year 8 Boys",$B$15="Year 9 Boys",$B$15="Year 10-11 Boys"),$B$8="One Keeper"),$E$4,""),AI69&lt;&gt;$B69,AI69&lt;&gt;$C68,IFERROR(INDEX($E$18:$E$30,MATCH(AI69,$B$18:$B$30,0)),"No")="Yes",COUNTIF($C$32:$C68,AI69)&lt;$B$6,COUNTIF($C$32:$C68,AI69)&lt;IF($B$3="Stage 1",MIN($B$6,MAX(1,INT($B$5/$B$11))),IF(AND($B$3="Stage 3",$B$5=20,$B$11&gt;11),1,IF(AND($B$3="Stage 3",OR($B$15="Year 10-11-12 Girls"),$B$5&gt;20),MAX(2,Setup!$B$14),Setup!$B$14)))))</f>
        <v>0</v>
      </c>
      <c r="BK69" s="20" t="b">
        <f>IF(AJ69="",FALSE,AND(AJ69&lt;&gt;IF(AND($B$3="Stage 3",OR($B$15="Year 8 Boys",$B$15="Year 9 Boys",$B$15="Year 10-11 Boys"),$B$8="One Keeper"),$E$4,""),AJ69&lt;&gt;$B69,AJ69&lt;&gt;$C68,IFERROR(INDEX($E$18:$E$30,MATCH(AJ69,$B$18:$B$30,0)),"No")="Yes",COUNTIF($C$32:$C68,AJ69)&lt;$B$6,COUNTIF($C$32:$C68,AJ69)&lt;IF($B$3="Stage 1",MIN($B$6,MAX(1,INT($B$5/$B$11))),IF(AND($B$3="Stage 3",$B$5=20,$B$11&gt;11),1,IF(AND($B$3="Stage 3",OR($B$15="Year 10-11-12 Girls"),$B$5&gt;20),MAX(2,Setup!$B$14),Setup!$B$14)))))</f>
        <v>0</v>
      </c>
      <c r="BL69" s="20" t="b">
        <f>IF(AK69="",FALSE,AND(AK69&lt;&gt;IF(AND($B$3="Stage 3",OR($B$15="Year 8 Boys",$B$15="Year 9 Boys",$B$15="Year 10-11 Boys"),$B$8="One Keeper"),$E$4,""),AK69&lt;&gt;$B69,AK69&lt;&gt;$C68,IFERROR(INDEX($E$18:$E$30,MATCH(AK69,$B$18:$B$30,0)),"No")="Yes",COUNTIF($C$32:$C68,AK69)&lt;$B$6,COUNTIF($C$32:$C68,AK69)&lt;IF($B$3="Stage 1",MIN($B$6,MAX(1,INT($B$5/$B$11))),IF(AND($B$3="Stage 3",$B$5=20,$B$11&gt;11),1,IF(AND($B$3="Stage 3",OR($B$15="Year 10-11-12 Girls"),$B$5&gt;20),MAX(2,Setup!$B$14),Setup!$B$14)))))</f>
        <v>0</v>
      </c>
      <c r="BM69" s="20" t="b">
        <f>IF(AL69="",FALSE,AND(AL69&lt;&gt;IF(AND($B$3="Stage 3",OR($B$15="Year 8 Boys",$B$15="Year 9 Boys",$B$15="Year 10-11 Boys"),$B$8="One Keeper"),$E$4,""),AL69&lt;&gt;$B69,AL69&lt;&gt;$C68,IFERROR(INDEX($E$18:$E$30,MATCH(AL69,$B$18:$B$30,0)),"No")="Yes",COUNTIF($C$32:$C68,AL69)&lt;$B$6,COUNTIF($C$32:$C68,AL69)&lt;IF($B$3="Stage 1",MIN($B$6,MAX(1,INT($B$5/$B$11))),IF(AND($B$3="Stage 3",$B$5=20,$B$11&gt;11),1,IF(AND($B$3="Stage 3",OR($B$15="Year 10-11-12 Girls"),$B$5&gt;20),MAX(2,Setup!$B$14),Setup!$B$14)))))</f>
        <v>0</v>
      </c>
      <c r="BN69" s="20" t="b">
        <f>IF(AM69="",FALSE,AND(AM69&lt;&gt;IF(AND($B$3="Stage 3",OR($B$15="Year 8 Boys",$B$15="Year 9 Boys",$B$15="Year 10-11 Boys"),$B$8="One Keeper"),$E$4,""),AM69&lt;&gt;$B69,AM69&lt;&gt;$C68,IFERROR(INDEX($E$18:$E$30,MATCH(AM69,$B$18:$B$30,0)),"No")="Yes",COUNTIF($C$32:$C68,AM69)&lt;$B$6,COUNTIF($C$32:$C68,AM69)&lt;IF($B$3="Stage 1",MIN($B$6,MAX(1,INT($B$5/$B$11))),IF(AND($B$3="Stage 3",$B$5=20,$B$11&gt;11),1,IF(AND($B$3="Stage 3",OR($B$15="Year 10-11-12 Girls"),$B$5&gt;20),MAX(2,Setup!$B$14),Setup!$B$14)))))</f>
        <v>0</v>
      </c>
      <c r="BO69" s="20" t="b">
        <f>IF(AN69="",FALSE,AND(AN69&lt;&gt;IF(AND($B$3="Stage 3",OR($B$15="Year 8 Boys",$B$15="Year 9 Boys",$B$15="Year 10-11 Boys"),$B$8="One Keeper"),$E$4,""),AN69&lt;&gt;$B69,AN69&lt;&gt;$C68,IFERROR(INDEX($E$18:$E$30,MATCH(AN69,$B$18:$B$30,0)),"No")="Yes",COUNTIF($C$32:$C68,AN69)&lt;$B$6,COUNTIF($C$32:$C68,AN69)&lt;IF($B$3="Stage 1",MIN($B$6,MAX(1,INT($B$5/$B$11))),IF(AND($B$3="Stage 3",$B$5=20,$B$11&gt;11),1,IF(AND($B$3="Stage 3",OR($B$15="Year 10-11-12 Girls"),$B$5&gt;20),MAX(2,Setup!$B$14),Setup!$B$14)))))</f>
        <v>0</v>
      </c>
      <c r="BP69" s="20" t="b">
        <f>IF(AO69="",FALSE,AND(AO69&lt;&gt;IF(AND($B$3="Stage 3",OR($B$15="Year 8 Boys",$B$15="Year 9 Boys",$B$15="Year 10-11 Boys"),$B$8="One Keeper"),$E$4,""),AO69&lt;&gt;$B69,AO69&lt;&gt;$C68,IFERROR(INDEX($E$18:$E$30,MATCH(AO69,$B$18:$B$30,0)),"No")="Yes",COUNTIF($C$32:$C68,AO69)&lt;$B$6,COUNTIF($C$32:$C68,AO69)&lt;IF($B$3="Stage 1",MIN($B$6,MAX(1,INT($B$5/$B$11))),IF(AND($B$3="Stage 3",$B$5=20,$B$11&gt;11),1,IF(AND($B$3="Stage 3",OR($B$15="Year 10-11-12 Girls"),$B$5&gt;20),MAX(2,Setup!$B$14),Setup!$B$14)))))</f>
        <v>0</v>
      </c>
      <c r="BQ69" s="20" t="b">
        <f>IF(AP69="",FALSE,AND(AP69&lt;&gt;IF(AND($B$3="Stage 3",OR($B$15="Year 8 Boys",$B$15="Year 9 Boys",$B$15="Year 10-11 Boys"),$B$8="One Keeper"),$E$4,""),AP69&lt;&gt;$B69,AP69&lt;&gt;$C68,IFERROR(INDEX($E$18:$E$30,MATCH(AP69,$B$18:$B$30,0)),"No")="Yes",COUNTIF($C$32:$C68,AP69)&lt;$B$6,COUNTIF($C$32:$C68,AP69)&lt;IF($B$3="Stage 1",MIN($B$6,MAX(1,INT($B$5/$B$11))),IF(AND($B$3="Stage 3",$B$5=20,$B$11&gt;11),1,IF(AND($B$3="Stage 3",OR($B$15="Year 10-11-12 Girls"),$B$5&gt;20),MAX(2,Setup!$B$14),Setup!$B$14)))))</f>
        <v>0</v>
      </c>
      <c r="BR69" s="20" t="b">
        <f>IF(AQ69="",FALSE,AND(AQ69&lt;&gt;IF(AND($B$3="Stage 3",OR($B$15="Year 8 Boys",$B$15="Year 9 Boys",$B$15="Year 10-11 Boys"),$B$8="One Keeper"),$E$4,""),AQ69&lt;&gt;$B69,AQ69&lt;&gt;$C68,IFERROR(INDEX($E$18:$E$30,MATCH(AQ69,$B$18:$B$30,0)),"No")="Yes",COUNTIF($C$32:$C68,AQ69)&lt;$B$6,COUNTIF($C$32:$C68,AQ69)&lt;IF($B$3="Stage 1",MIN($B$6,MAX(1,INT($B$5/$B$11))),IF(AND($B$3="Stage 3",$B$5=20,$B$11&gt;11),1,IF(AND($B$3="Stage 3",OR($B$15="Year 10-11-12 Girls"),$B$5&gt;20),MAX(2,Setup!$B$14),Setup!$B$14)))))</f>
        <v>0</v>
      </c>
      <c r="BS69" s="20" t="b">
        <f>IF(AR69="",FALSE,AND(AR69&lt;&gt;IF(AND($B$3="Stage 3",OR($B$15="Year 8 Boys",$B$15="Year 9 Boys",$B$15="Year 10-11 Boys"),$B$8="One Keeper"),$E$4,""),AR69&lt;&gt;$B69,AR69&lt;&gt;$C68,IFERROR(INDEX($E$18:$E$30,MATCH(AR69,$B$18:$B$30,0)),"No")="Yes",COUNTIF($C$32:$C68,AR69)&lt;$B$6,COUNTIF($C$32:$C68,AR69)&lt;IF($B$3="Stage 1",MIN($B$6,MAX(1,INT($B$5/$B$11))),IF(AND($B$3="Stage 3",$B$5=20,$B$11&gt;11),1,IF(AND($B$3="Stage 3",OR($B$15="Year 10-11-12 Girls"),$B$5&gt;20),MAX(2,Setup!$B$14),Setup!$B$14)))))</f>
        <v>0</v>
      </c>
      <c r="BT69" s="20" t="b">
        <f>IF(AS69="",FALSE,AND(AS69&lt;&gt;IF(AND($B$3="Stage 3",OR($B$15="Year 8 Boys",$B$15="Year 9 Boys",$B$15="Year 10-11 Boys"),$B$8="One Keeper"),$E$4,""),AS69&lt;&gt;$B69,AS69&lt;&gt;$C68,IFERROR(INDEX($E$18:$E$30,MATCH(AS69,$B$18:$B$30,0)),"No")="Yes",COUNTIF($C$32:$C68,AS69)&lt;$B$6,COUNTIF($C$32:$C68,AS69)&lt;IF($B$3="Stage 1",MIN($B$6,MAX(1,INT($B$5/$B$11))),IF(AND($B$3="Stage 3",$B$5=20,$B$11&gt;11),1,IF(AND($B$3="Stage 3",OR($B$15="Year 10-11-12 Girls"),$B$5&gt;20),MAX(2,Setup!$B$14),Setup!$B$14)))))</f>
        <v>0</v>
      </c>
      <c r="BU69" s="20" t="b">
        <f>IF(AT69="",FALSE,AND(AT69&lt;&gt;IF(AND($B$3="Stage 3",OR($B$15="Year 8 Boys",$B$15="Year 9 Boys",$B$15="Year 10-11 Boys"),$B$8="One Keeper"),$E$4,""),AT69&lt;&gt;$B69,AT69&lt;&gt;$C68,IFERROR(INDEX($E$18:$E$30,MATCH(AT69,$B$18:$B$30,0)),"No")="Yes",COUNTIF($C$32:$C68,AT69)&lt;$B$6,COUNTIF($C$32:$C68,AT69)&lt;IF($B$3="Stage 1",MIN($B$6,MAX(1,INT($B$5/$B$11))),IF(AND($B$3="Stage 3",$B$5=20,$B$11&gt;11),1,IF(AND($B$3="Stage 3",OR($B$15="Year 10-11-12 Girls"),$B$5&gt;20),MAX(2,Setup!$B$14),Setup!$B$14)))))</f>
        <v>0</v>
      </c>
      <c r="BV69" s="20" t="b">
        <f>IF(AU69="",FALSE,AND(AU69&lt;&gt;IF(AND($B$3="Stage 3",OR($B$15="Year 8 Boys",$B$15="Year 9 Boys",$B$15="Year 10-11 Boys"),$B$8="One Keeper"),$E$4,""),AU69&lt;&gt;$B69,AU69&lt;&gt;$C68,IFERROR(INDEX($E$18:$E$30,MATCH(AU69,$B$18:$B$30,0)),"No")="Yes",COUNTIF($C$32:$C68,AU69)&lt;$B$6,COUNTIF($C$32:$C68,AU69)&lt;IF($B$3="Stage 1",MIN($B$6,MAX(1,INT($B$5/$B$11))),IF(AND($B$3="Stage 3",$B$5=20,$B$11&gt;11),1,IF(AND($B$3="Stage 3",OR($B$15="Year 10-11-12 Girls"),$B$5&gt;20),MAX(2,Setup!$B$14),Setup!$B$14)))))</f>
        <v>0</v>
      </c>
      <c r="BW69" s="20"/>
      <c r="BX69" s="20"/>
      <c r="BY69" s="20"/>
      <c r="BZ69" s="20"/>
      <c r="CA69" s="20"/>
      <c r="CB69" s="20"/>
      <c r="CC69" s="20"/>
      <c r="CD69" s="20"/>
      <c r="CE69" s="20"/>
      <c r="CF69" s="20"/>
      <c r="CG69" s="20"/>
      <c r="CH69" s="20"/>
      <c r="CI69" s="20"/>
      <c r="CJ69" s="20"/>
      <c r="CK69" s="20"/>
    </row>
    <row r="70" spans="1:89" ht="15" customHeight="1">
      <c r="A70" s="18">
        <v>39</v>
      </c>
      <c r="B70" s="18" t="str">
        <f t="shared" si="5"/>
        <v/>
      </c>
      <c r="C70" s="18" t="str">
        <f t="shared" si="6"/>
        <v/>
      </c>
      <c r="D70" s="18">
        <f t="shared" si="7"/>
        <v>8</v>
      </c>
      <c r="E70" s="18" t="str">
        <f>IF($C70="","",COUNTIF($C$32:C70,$C70))</f>
        <v/>
      </c>
      <c r="F70" s="18" t="str">
        <f t="shared" si="8"/>
        <v/>
      </c>
      <c r="T70" s="20" t="str">
        <f t="shared" si="15"/>
        <v/>
      </c>
      <c r="U70" s="20" t="b">
        <f>IF(OR($B$3="Stage 2",AND($B$3="Stage 3",OR($B$15="Year 10-11-12 Girls"))),(IF(AND($P$18&lt;&gt;"",$P$18&lt;&gt;$E$4,COUNTIF($C$32:$C69,$P$18)&gt;=2),1,0)+IF(AND($P$19&lt;&gt;"",$P$19&lt;&gt;$E$4,COUNTIF($C$32:$C69,$P$19)&gt;=2),1,0)+IF(AND($P$20&lt;&gt;"",$P$20&lt;&gt;$E$4,COUNTIF($C$32:$C69,$P$20)&gt;=2),1,0)+IF(AND($P$21&lt;&gt;"",$P$21&lt;&gt;$E$4,COUNTIF($C$32:$C69,$P$21)&gt;=2),1,0)+IF(AND($P$22&lt;&gt;"",$P$22&lt;&gt;$E$4,COUNTIF($C$32:$C69,$P$22)&gt;=2),1,0)+IF(AND($P$23&lt;&gt;"",$P$23&lt;&gt;$E$4,COUNTIF($C$32:$C69,$P$23)&gt;=2),1,0)+IF(AND($P$24&lt;&gt;"",$P$24&lt;&gt;$E$4,COUNTIF($C$32:$C69,$P$24)&gt;=2),1,0)+IF(AND($P$25&lt;&gt;"",$P$25&lt;&gt;$E$4,COUNTIF($C$32:$C69,$P$25)&gt;=2),1,0)+IF(AND($P$26&lt;&gt;"",$P$26&lt;&gt;$E$4,COUNTIF($C$32:$C69,$P$26)&gt;=2),1,0)+IF(AND($P$27&lt;&gt;"",$P$27&lt;&gt;$E$4,COUNTIF($C$32:$C69,$P$27)&gt;=2),1,0)+IF(AND($P$28&lt;&gt;"",$P$28&lt;&gt;$E$4,COUNTIF($C$32:$C69,$P$28)&gt;=2),1,0)+IF(AND($P$29&lt;&gt;"",$P$29&lt;&gt;$E$4,COUNTIF($C$32:$C69,$P$29)&gt;=2),1,0)+IF(AND($P$30&lt;&gt;"",$P$30&lt;&gt;$E$4,COUNTIF($C$32:$C69,$P$30)&gt;=2),1,0))&gt;=MAX(0,$B$11-1),IF(AND($B$3="Stage 3",OR($B$15="Year 8 Boys",$B$15="Year 9 Boys",$B$15="Year 10-11 Boys")),(IF(AND($P$18&lt;&gt;"",COUNTIF($C$32:$C69,$P$18)&gt;=2),1,0)+IF(AND($P$19&lt;&gt;"",COUNTIF($C$32:$C69,$P$19)&gt;=2),1,0)+IF(AND($P$20&lt;&gt;"",COUNTIF($C$32:$C69,$P$20)&gt;=2),1,0)+IF(AND($P$21&lt;&gt;"",COUNTIF($C$32:$C69,$P$21)&gt;=2),1,0)+IF(AND($P$22&lt;&gt;"",COUNTIF($C$32:$C69,$P$22)&gt;=2),1,0)+IF(AND($P$23&lt;&gt;"",COUNTIF($C$32:$C69,$P$23)&gt;=2),1,0)+IF(AND($P$24&lt;&gt;"",COUNTIF($C$32:$C69,$P$24)&gt;=2),1,0)+IF(AND($P$25&lt;&gt;"",COUNTIF($C$32:$C69,$P$25)&gt;=2),1,0)+IF(AND($P$26&lt;&gt;"",COUNTIF($C$32:$C69,$P$26)&gt;=2),1,0)+IF(AND($P$27&lt;&gt;"",COUNTIF($C$32:$C69,$P$27)&gt;=2),1,0)+IF(AND($P$28&lt;&gt;"",COUNTIF($C$32:$C69,$P$28)&gt;=2),1,0)+IF(AND($P$29&lt;&gt;"",COUNTIF($C$32:$C69,$P$29)&gt;=2),1,0)+IF(AND($P$30&lt;&gt;"",COUNTIF($C$32:$C69,$P$30)&gt;=2),1,0))&gt;=7,TRUE))</f>
        <v>1</v>
      </c>
      <c r="V70" s="20" t="str">
        <f t="shared" si="32"/>
        <v/>
      </c>
      <c r="W70" s="20" t="str">
        <f t="shared" si="32"/>
        <v/>
      </c>
      <c r="X70" s="20" t="str">
        <f t="shared" si="32"/>
        <v/>
      </c>
      <c r="Y70" s="20" t="str">
        <f t="shared" si="32"/>
        <v/>
      </c>
      <c r="Z70" s="20" t="str">
        <f t="shared" si="32"/>
        <v/>
      </c>
      <c r="AA70" s="20" t="str">
        <f t="shared" si="32"/>
        <v/>
      </c>
      <c r="AB70" s="20" t="str">
        <f t="shared" si="32"/>
        <v/>
      </c>
      <c r="AC70" s="20" t="str">
        <f t="shared" si="32"/>
        <v/>
      </c>
      <c r="AD70" s="20" t="str">
        <f t="shared" si="32"/>
        <v/>
      </c>
      <c r="AE70" s="20" t="str">
        <f t="shared" si="32"/>
        <v/>
      </c>
      <c r="AF70" s="20" t="str">
        <f t="shared" si="32"/>
        <v/>
      </c>
      <c r="AG70" s="20" t="str">
        <f t="shared" si="32"/>
        <v/>
      </c>
      <c r="AH70" s="20" t="str">
        <f t="shared" si="32"/>
        <v/>
      </c>
      <c r="AI70" s="20" t="str">
        <f t="shared" si="17"/>
        <v/>
      </c>
      <c r="AJ70" s="20" t="str">
        <f t="shared" si="18"/>
        <v/>
      </c>
      <c r="AK70" s="20" t="str">
        <f t="shared" si="19"/>
        <v/>
      </c>
      <c r="AL70" s="20" t="str">
        <f t="shared" si="20"/>
        <v/>
      </c>
      <c r="AM70" s="20" t="str">
        <f t="shared" si="21"/>
        <v/>
      </c>
      <c r="AN70" s="20" t="str">
        <f t="shared" si="22"/>
        <v/>
      </c>
      <c r="AO70" s="20" t="str">
        <f t="shared" si="23"/>
        <v/>
      </c>
      <c r="AP70" s="20" t="str">
        <f t="shared" si="24"/>
        <v/>
      </c>
      <c r="AQ70" s="20" t="str">
        <f t="shared" si="25"/>
        <v/>
      </c>
      <c r="AR70" s="20" t="str">
        <f t="shared" si="26"/>
        <v/>
      </c>
      <c r="AS70" s="20" t="str">
        <f t="shared" si="27"/>
        <v/>
      </c>
      <c r="AT70" s="20" t="str">
        <f t="shared" si="28"/>
        <v/>
      </c>
      <c r="AU70" s="20" t="str">
        <f t="shared" si="29"/>
        <v/>
      </c>
      <c r="AV70" s="20" t="b">
        <f>IF(AI70="",FALSE,AND(AI70&lt;&gt;$B70,AI70&lt;&gt;$C69,IFERROR(INDEX($E$18:$E$30,MATCH(AI70,$B$18:$B$30,0)),"No")="Yes",IF(AND(OR($B$3="Stage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Girls"))),$B$5&gt;20),MIN(3,MAX(2,Setup!$B$14)),2))*2),AI70=$E$5,IF(AND(OR($B$3="Stage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Girls"))),$B$5&gt;20),MIN(3,MAX(2,Setup!$B$14)),2))*2-1))),AI70=$E$4,TRUE)),COUNTIF($C$32:$C69,AI70)&lt;$B$6,IF($BI70,COUNTIF($C$32:$C69,AI70)&lt;IF($B$3="Stage 1",MIN($B$6,MAX(1,INT($B$5/$B$11))),IF(AND($B$3="Stage 3",$B$5=20,$B$11&gt;11),1,IF(AND($B$3="Stage 3",OR($B$15="Year 10-11-12 Girls"),$B$5&gt;20),MAX(2,Setup!$B$14),Setup!$B$14))),IF(AND($B$3&lt;&gt;"Stage 2",$B$3&lt;&gt;"Stage 3"),TRUE,IF($U70,TRUE,COUNTIF($C$32:$C69,AI70)&lt;IF(AND($B$3="Stage 2",$B$5=20,AI70=$E$5,$A70&lt;=IF($B$8="One Keeper",$B$5,$B$8)),2,IF(AND(OR($B$3="Stage 2",AND($B$3="Stage 3",OR($B$15="Year 10-11-12 Girls"))),AI70=$E$5,$A70&lt;=IF($B$8="One Keeper",$B$5,$B$8)),3,$B$9)))))))</f>
        <v>0</v>
      </c>
      <c r="AW70" s="20" t="b">
        <f>IF(AJ70="",FALSE,AND(AJ70&lt;&gt;$B70,AJ70&lt;&gt;$C69,IFERROR(INDEX($E$18:$E$30,MATCH(AJ70,$B$18:$B$30,0)),"No")="Yes",IF(AND(OR($B$3="Stage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Girls"))),$B$5&gt;20),MIN(3,MAX(2,Setup!$B$14)),2))*2),AJ70=$E$5,IF(AND(OR($B$3="Stage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Girls"))),$B$5&gt;20),MIN(3,MAX(2,Setup!$B$14)),2))*2-1))),AJ70=$E$4,TRUE)),COUNTIF($C$32:$C69,AJ70)&lt;$B$6,IF($BI70,COUNTIF($C$32:$C69,AJ70)&lt;IF($B$3="Stage 1",MIN($B$6,MAX(1,INT($B$5/$B$11))),IF(AND($B$3="Stage 3",$B$5=20,$B$11&gt;11),1,IF(AND($B$3="Stage 3",OR($B$15="Year 10-11-12 Girls"),$B$5&gt;20),MAX(2,Setup!$B$14),Setup!$B$14))),IF(AND($B$3&lt;&gt;"Stage 2",$B$3&lt;&gt;"Stage 3"),TRUE,IF($U70,TRUE,COUNTIF($C$32:$C69,AJ70)&lt;IF(AND($B$3="Stage 2",$B$5=20,AJ70=$E$5,$A70&lt;=IF($B$8="One Keeper",$B$5,$B$8)),2,IF(AND(OR($B$3="Stage 2",AND($B$3="Stage 3",OR($B$15="Year 10-11-12 Girls"))),AJ70=$E$5,$A70&lt;=IF($B$8="One Keeper",$B$5,$B$8)),3,$B$9)))))))</f>
        <v>0</v>
      </c>
      <c r="AX70" s="20" t="b">
        <f>IF(AK70="",FALSE,AND(AK70&lt;&gt;$B70,AK70&lt;&gt;$C69,IFERROR(INDEX($E$18:$E$30,MATCH(AK70,$B$18:$B$30,0)),"No")="Yes",IF(AND(OR($B$3="Stage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Girls"))),$B$5&gt;20),MIN(3,MAX(2,Setup!$B$14)),2))*2),AK70=$E$5,IF(AND(OR($B$3="Stage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Girls"))),$B$5&gt;20),MIN(3,MAX(2,Setup!$B$14)),2))*2-1))),AK70=$E$4,TRUE)),COUNTIF($C$32:$C69,AK70)&lt;$B$6,IF($BI70,COUNTIF($C$32:$C69,AK70)&lt;IF($B$3="Stage 1",MIN($B$6,MAX(1,INT($B$5/$B$11))),IF(AND($B$3="Stage 3",$B$5=20,$B$11&gt;11),1,IF(AND($B$3="Stage 3",OR($B$15="Year 10-11-12 Girls"),$B$5&gt;20),MAX(2,Setup!$B$14),Setup!$B$14))),IF(AND($B$3&lt;&gt;"Stage 2",$B$3&lt;&gt;"Stage 3"),TRUE,IF($U70,TRUE,COUNTIF($C$32:$C69,AK70)&lt;IF(AND($B$3="Stage 2",$B$5=20,AK70=$E$5,$A70&lt;=IF($B$8="One Keeper",$B$5,$B$8)),2,IF(AND(OR($B$3="Stage 2",AND($B$3="Stage 3",OR($B$15="Year 10-11-12 Girls"))),AK70=$E$5,$A70&lt;=IF($B$8="One Keeper",$B$5,$B$8)),3,$B$9)))))))</f>
        <v>0</v>
      </c>
      <c r="AY70" s="20" t="b">
        <f>IF(AL70="",FALSE,AND(AL70&lt;&gt;$B70,AL70&lt;&gt;$C69,IFERROR(INDEX($E$18:$E$30,MATCH(AL70,$B$18:$B$30,0)),"No")="Yes",IF(AND(OR($B$3="Stage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Girls"))),$B$5&gt;20),MIN(3,MAX(2,Setup!$B$14)),2))*2),AL70=$E$5,IF(AND(OR($B$3="Stage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Girls"))),$B$5&gt;20),MIN(3,MAX(2,Setup!$B$14)),2))*2-1))),AL70=$E$4,TRUE)),COUNTIF($C$32:$C69,AL70)&lt;$B$6,IF($BI70,COUNTIF($C$32:$C69,AL70)&lt;IF($B$3="Stage 1",MIN($B$6,MAX(1,INT($B$5/$B$11))),IF(AND($B$3="Stage 3",$B$5=20,$B$11&gt;11),1,IF(AND($B$3="Stage 3",OR($B$15="Year 10-11-12 Girls"),$B$5&gt;20),MAX(2,Setup!$B$14),Setup!$B$14))),IF(AND($B$3&lt;&gt;"Stage 2",$B$3&lt;&gt;"Stage 3"),TRUE,IF($U70,TRUE,COUNTIF($C$32:$C69,AL70)&lt;IF(AND($B$3="Stage 2",$B$5=20,AL70=$E$5,$A70&lt;=IF($B$8="One Keeper",$B$5,$B$8)),2,IF(AND(OR($B$3="Stage 2",AND($B$3="Stage 3",OR($B$15="Year 10-11-12 Girls"))),AL70=$E$5,$A70&lt;=IF($B$8="One Keeper",$B$5,$B$8)),3,$B$9)))))))</f>
        <v>0</v>
      </c>
      <c r="AZ70" s="20" t="b">
        <f>IF(AM70="",FALSE,AND(AM70&lt;&gt;$B70,AM70&lt;&gt;$C69,IFERROR(INDEX($E$18:$E$30,MATCH(AM70,$B$18:$B$30,0)),"No")="Yes",IF(AND(OR($B$3="Stage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Girls"))),$B$5&gt;20),MIN(3,MAX(2,Setup!$B$14)),2))*2),AM70=$E$5,IF(AND(OR($B$3="Stage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Girls"))),$B$5&gt;20),MIN(3,MAX(2,Setup!$B$14)),2))*2-1))),AM70=$E$4,TRUE)),COUNTIF($C$32:$C69,AM70)&lt;$B$6,IF($BI70,COUNTIF($C$32:$C69,AM70)&lt;IF($B$3="Stage 1",MIN($B$6,MAX(1,INT($B$5/$B$11))),IF(AND($B$3="Stage 3",$B$5=20,$B$11&gt;11),1,IF(AND($B$3="Stage 3",OR($B$15="Year 10-11-12 Girls"),$B$5&gt;20),MAX(2,Setup!$B$14),Setup!$B$14))),IF(AND($B$3&lt;&gt;"Stage 2",$B$3&lt;&gt;"Stage 3"),TRUE,IF($U70,TRUE,COUNTIF($C$32:$C69,AM70)&lt;IF(AND($B$3="Stage 2",$B$5=20,AM70=$E$5,$A70&lt;=IF($B$8="One Keeper",$B$5,$B$8)),2,IF(AND(OR($B$3="Stage 2",AND($B$3="Stage 3",OR($B$15="Year 10-11-12 Girls"))),AM70=$E$5,$A70&lt;=IF($B$8="One Keeper",$B$5,$B$8)),3,$B$9)))))))</f>
        <v>0</v>
      </c>
      <c r="BA70" s="20" t="b">
        <f>IF(AN70="",FALSE,AND(AN70&lt;&gt;$B70,AN70&lt;&gt;$C69,IFERROR(INDEX($E$18:$E$30,MATCH(AN70,$B$18:$B$30,0)),"No")="Yes",IF(AND(OR($B$3="Stage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Girls"))),$B$5&gt;20),MIN(3,MAX(2,Setup!$B$14)),2))*2),AN70=$E$5,IF(AND(OR($B$3="Stage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Girls"))),$B$5&gt;20),MIN(3,MAX(2,Setup!$B$14)),2))*2-1))),AN70=$E$4,TRUE)),COUNTIF($C$32:$C69,AN70)&lt;$B$6,IF($BI70,COUNTIF($C$32:$C69,AN70)&lt;IF($B$3="Stage 1",MIN($B$6,MAX(1,INT($B$5/$B$11))),IF(AND($B$3="Stage 3",$B$5=20,$B$11&gt;11),1,IF(AND($B$3="Stage 3",OR($B$15="Year 10-11-12 Girls"),$B$5&gt;20),MAX(2,Setup!$B$14),Setup!$B$14))),IF(AND($B$3&lt;&gt;"Stage 2",$B$3&lt;&gt;"Stage 3"),TRUE,IF($U70,TRUE,COUNTIF($C$32:$C69,AN70)&lt;IF(AND($B$3="Stage 2",$B$5=20,AN70=$E$5,$A70&lt;=IF($B$8="One Keeper",$B$5,$B$8)),2,IF(AND(OR($B$3="Stage 2",AND($B$3="Stage 3",OR($B$15="Year 10-11-12 Girls"))),AN70=$E$5,$A70&lt;=IF($B$8="One Keeper",$B$5,$B$8)),3,$B$9)))))))</f>
        <v>0</v>
      </c>
      <c r="BB70" s="20" t="b">
        <f>IF(AO70="",FALSE,AND(AO70&lt;&gt;$B70,AO70&lt;&gt;$C69,IFERROR(INDEX($E$18:$E$30,MATCH(AO70,$B$18:$B$30,0)),"No")="Yes",IF(AND(OR($B$3="Stage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Girls"))),$B$5&gt;20),MIN(3,MAX(2,Setup!$B$14)),2))*2),AO70=$E$5,IF(AND(OR($B$3="Stage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Girls"))),$B$5&gt;20),MIN(3,MAX(2,Setup!$B$14)),2))*2-1))),AO70=$E$4,TRUE)),COUNTIF($C$32:$C69,AO70)&lt;$B$6,IF($BI70,COUNTIF($C$32:$C69,AO70)&lt;IF($B$3="Stage 1",MIN($B$6,MAX(1,INT($B$5/$B$11))),IF(AND($B$3="Stage 3",$B$5=20,$B$11&gt;11),1,IF(AND($B$3="Stage 3",OR($B$15="Year 10-11-12 Girls"),$B$5&gt;20),MAX(2,Setup!$B$14),Setup!$B$14))),IF(AND($B$3&lt;&gt;"Stage 2",$B$3&lt;&gt;"Stage 3"),TRUE,IF($U70,TRUE,COUNTIF($C$32:$C69,AO70)&lt;IF(AND($B$3="Stage 2",$B$5=20,AO70=$E$5,$A70&lt;=IF($B$8="One Keeper",$B$5,$B$8)),2,IF(AND(OR($B$3="Stage 2",AND($B$3="Stage 3",OR($B$15="Year 10-11-12 Girls"))),AO70=$E$5,$A70&lt;=IF($B$8="One Keeper",$B$5,$B$8)),3,$B$9)))))))</f>
        <v>0</v>
      </c>
      <c r="BC70" s="20" t="b">
        <f>IF(AP70="",FALSE,AND(AP70&lt;&gt;$B70,AP70&lt;&gt;$C69,IFERROR(INDEX($E$18:$E$30,MATCH(AP70,$B$18:$B$30,0)),"No")="Yes",IF(AND(OR($B$3="Stage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Girls"))),$B$5&gt;20),MIN(3,MAX(2,Setup!$B$14)),2))*2),AP70=$E$5,IF(AND(OR($B$3="Stage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Girls"))),$B$5&gt;20),MIN(3,MAX(2,Setup!$B$14)),2))*2-1))),AP70=$E$4,TRUE)),COUNTIF($C$32:$C69,AP70)&lt;$B$6,IF($BI70,COUNTIF($C$32:$C69,AP70)&lt;IF($B$3="Stage 1",MIN($B$6,MAX(1,INT($B$5/$B$11))),IF(AND($B$3="Stage 3",$B$5=20,$B$11&gt;11),1,IF(AND($B$3="Stage 3",OR($B$15="Year 10-11-12 Girls"),$B$5&gt;20),MAX(2,Setup!$B$14),Setup!$B$14))),IF(AND($B$3&lt;&gt;"Stage 2",$B$3&lt;&gt;"Stage 3"),TRUE,IF($U70,TRUE,COUNTIF($C$32:$C69,AP70)&lt;IF(AND($B$3="Stage 2",$B$5=20,AP70=$E$5,$A70&lt;=IF($B$8="One Keeper",$B$5,$B$8)),2,IF(AND(OR($B$3="Stage 2",AND($B$3="Stage 3",OR($B$15="Year 10-11-12 Girls"))),AP70=$E$5,$A70&lt;=IF($B$8="One Keeper",$B$5,$B$8)),3,$B$9)))))))</f>
        <v>0</v>
      </c>
      <c r="BD70" s="20" t="b">
        <f>IF(AQ70="",FALSE,AND(AQ70&lt;&gt;$B70,AQ70&lt;&gt;$C69,IFERROR(INDEX($E$18:$E$30,MATCH(AQ70,$B$18:$B$30,0)),"No")="Yes",IF(AND(OR($B$3="Stage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Girls"))),$B$5&gt;20),MIN(3,MAX(2,Setup!$B$14)),2))*2),AQ70=$E$5,IF(AND(OR($B$3="Stage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Girls"))),$B$5&gt;20),MIN(3,MAX(2,Setup!$B$14)),2))*2-1))),AQ70=$E$4,TRUE)),COUNTIF($C$32:$C69,AQ70)&lt;$B$6,IF($BI70,COUNTIF($C$32:$C69,AQ70)&lt;IF($B$3="Stage 1",MIN($B$6,MAX(1,INT($B$5/$B$11))),IF(AND($B$3="Stage 3",$B$5=20,$B$11&gt;11),1,IF(AND($B$3="Stage 3",OR($B$15="Year 10-11-12 Girls"),$B$5&gt;20),MAX(2,Setup!$B$14),Setup!$B$14))),IF(AND($B$3&lt;&gt;"Stage 2",$B$3&lt;&gt;"Stage 3"),TRUE,IF($U70,TRUE,COUNTIF($C$32:$C69,AQ70)&lt;IF(AND($B$3="Stage 2",$B$5=20,AQ70=$E$5,$A70&lt;=IF($B$8="One Keeper",$B$5,$B$8)),2,IF(AND(OR($B$3="Stage 2",AND($B$3="Stage 3",OR($B$15="Year 10-11-12 Girls"))),AQ70=$E$5,$A70&lt;=IF($B$8="One Keeper",$B$5,$B$8)),3,$B$9)))))))</f>
        <v>0</v>
      </c>
      <c r="BE70" s="20" t="b">
        <f>IF(AR70="",FALSE,AND(AR70&lt;&gt;$B70,AR70&lt;&gt;$C69,IFERROR(INDEX($E$18:$E$30,MATCH(AR70,$B$18:$B$30,0)),"No")="Yes",IF(AND(OR($B$3="Stage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Girls"))),$B$5&gt;20),MIN(3,MAX(2,Setup!$B$14)),2))*2),AR70=$E$5,IF(AND(OR($B$3="Stage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Girls"))),$B$5&gt;20),MIN(3,MAX(2,Setup!$B$14)),2))*2-1))),AR70=$E$4,TRUE)),COUNTIF($C$32:$C69,AR70)&lt;$B$6,IF($BI70,COUNTIF($C$32:$C69,AR70)&lt;IF($B$3="Stage 1",MIN($B$6,MAX(1,INT($B$5/$B$11))),IF(AND($B$3="Stage 3",$B$5=20,$B$11&gt;11),1,IF(AND($B$3="Stage 3",OR($B$15="Year 10-11-12 Girls"),$B$5&gt;20),MAX(2,Setup!$B$14),Setup!$B$14))),IF(AND($B$3&lt;&gt;"Stage 2",$B$3&lt;&gt;"Stage 3"),TRUE,IF($U70,TRUE,COUNTIF($C$32:$C69,AR70)&lt;IF(AND($B$3="Stage 2",$B$5=20,AR70=$E$5,$A70&lt;=IF($B$8="One Keeper",$B$5,$B$8)),2,IF(AND(OR($B$3="Stage 2",AND($B$3="Stage 3",OR($B$15="Year 10-11-12 Girls"))),AR70=$E$5,$A70&lt;=IF($B$8="One Keeper",$B$5,$B$8)),3,$B$9)))))))</f>
        <v>0</v>
      </c>
      <c r="BF70" s="20" t="b">
        <f>IF(AS70="",FALSE,AND(AS70&lt;&gt;$B70,AS70&lt;&gt;$C69,IFERROR(INDEX($E$18:$E$30,MATCH(AS70,$B$18:$B$30,0)),"No")="Yes",IF(AND(OR($B$3="Stage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Girls"))),$B$5&gt;20),MIN(3,MAX(2,Setup!$B$14)),2))*2),AS70=$E$5,IF(AND(OR($B$3="Stage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Girls"))),$B$5&gt;20),MIN(3,MAX(2,Setup!$B$14)),2))*2-1))),AS70=$E$4,TRUE)),COUNTIF($C$32:$C69,AS70)&lt;$B$6,IF($BI70,COUNTIF($C$32:$C69,AS70)&lt;IF($B$3="Stage 1",MIN($B$6,MAX(1,INT($B$5/$B$11))),IF(AND($B$3="Stage 3",$B$5=20,$B$11&gt;11),1,IF(AND($B$3="Stage 3",OR($B$15="Year 10-11-12 Girls"),$B$5&gt;20),MAX(2,Setup!$B$14),Setup!$B$14))),IF(AND($B$3&lt;&gt;"Stage 2",$B$3&lt;&gt;"Stage 3"),TRUE,IF($U70,TRUE,COUNTIF($C$32:$C69,AS70)&lt;IF(AND($B$3="Stage 2",$B$5=20,AS70=$E$5,$A70&lt;=IF($B$8="One Keeper",$B$5,$B$8)),2,IF(AND(OR($B$3="Stage 2",AND($B$3="Stage 3",OR($B$15="Year 10-11-12 Girls"))),AS70=$E$5,$A70&lt;=IF($B$8="One Keeper",$B$5,$B$8)),3,$B$9)))))))</f>
        <v>0</v>
      </c>
      <c r="BG70" s="20" t="b">
        <f>IF(AT70="",FALSE,AND(AT70&lt;&gt;$B70,AT70&lt;&gt;$C69,IFERROR(INDEX($E$18:$E$30,MATCH(AT70,$B$18:$B$30,0)),"No")="Yes",IF(AND(OR($B$3="Stage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Girls"))),$B$5&gt;20),MIN(3,MAX(2,Setup!$B$14)),2))*2),AT70=$E$5,IF(AND(OR($B$3="Stage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Girls"))),$B$5&gt;20),MIN(3,MAX(2,Setup!$B$14)),2))*2-1))),AT70=$E$4,TRUE)),COUNTIF($C$32:$C69,AT70)&lt;$B$6,IF($BI70,COUNTIF($C$32:$C69,AT70)&lt;IF($B$3="Stage 1",MIN($B$6,MAX(1,INT($B$5/$B$11))),IF(AND($B$3="Stage 3",$B$5=20,$B$11&gt;11),1,IF(AND($B$3="Stage 3",OR($B$15="Year 10-11-12 Girls"),$B$5&gt;20),MAX(2,Setup!$B$14),Setup!$B$14))),IF(AND($B$3&lt;&gt;"Stage 2",$B$3&lt;&gt;"Stage 3"),TRUE,IF($U70,TRUE,COUNTIF($C$32:$C69,AT70)&lt;IF(AND($B$3="Stage 2",$B$5=20,AT70=$E$5,$A70&lt;=IF($B$8="One Keeper",$B$5,$B$8)),2,IF(AND(OR($B$3="Stage 2",AND($B$3="Stage 3",OR($B$15="Year 10-11-12 Girls"))),AT70=$E$5,$A70&lt;=IF($B$8="One Keeper",$B$5,$B$8)),3,$B$9)))))))</f>
        <v>0</v>
      </c>
      <c r="BH70" s="20" t="b">
        <f>IF(AU70="",FALSE,AND(AU70&lt;&gt;$B70,AU70&lt;&gt;$C69,IFERROR(INDEX($E$18:$E$30,MATCH(AU70,$B$18:$B$30,0)),"No")="Yes",IF(AND(OR($B$3="Stage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Girls"))),$B$5&gt;20),MIN(3,MAX(2,Setup!$B$14)),2))*2),AU70=$E$5,IF(AND(OR($B$3="Stage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Girls"))),$B$5&gt;20),MIN(3,MAX(2,Setup!$B$14)),2))*2-1))),AU70=$E$4,TRUE)),COUNTIF($C$32:$C69,AU70)&lt;$B$6,IF($BI70,COUNTIF($C$32:$C69,AU70)&lt;IF($B$3="Stage 1",MIN($B$6,MAX(1,INT($B$5/$B$11))),IF(AND($B$3="Stage 3",$B$5=20,$B$11&gt;11),1,IF(AND($B$3="Stage 3",OR($B$15="Year 10-11-12 Girls"),$B$5&gt;20),MAX(2,Setup!$B$14),Setup!$B$14))),IF(AND($B$3&lt;&gt;"Stage 2",$B$3&lt;&gt;"Stage 3"),TRUE,IF($U70,TRUE,COUNTIF($C$32:$C69,AU70)&lt;IF(AND($B$3="Stage 2",$B$5=20,AU70=$E$5,$A70&lt;=IF($B$8="One Keeper",$B$5,$B$8)),2,IF(AND(OR($B$3="Stage 2",AND($B$3="Stage 3",OR($B$15="Year 10-11-12 Girls"))),AU70=$E$5,$A70&lt;=IF($B$8="One Keeper",$B$5,$B$8)),3,$B$9)))))))</f>
        <v>0</v>
      </c>
      <c r="BI70"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Keeper",$E$4&lt;&gt;$E$5,$A70&lt;=IF($B$8="One Keeper",$B$5,$B$8),COUNTIF($C$32:$C69,$E$5)&lt;IF(AND($B$3="Stage 3",$B$5=20,$B$11&gt;11),1,IF(AND(OR($B$3="Stage 2",AND($B$3="Stage 3",OR($B$15="Year 10-11-12 Girls"))),$B$5&gt;20),MIN(3,MAX(2,Setup!$B$14)),2)),IFERROR(INDEX($E$18:$E$30,MATCH($E$5,$B$18:$B$30,0)),"No")="Yes",$C69&lt;&gt;$E$5,MOD($A70,2)=0,$A70&lt;=IF(AND($B$3="Stage 3",$B$5=20,$B$11&gt;11),1,IF(AND(OR($B$3="Stage 2",AND($B$3="Stage 3",OR($B$15="Year 10-11-12 Girls"))),$B$5&gt;20),MIN(3,MAX(2,Setup!$B$14)),2))*2),AND(OR($B$3="Stage 1",$B$3="Stage 2",AND($B$3="Stage 3",OR(OR($B$15="Year 10-11-12 Girls"),OR($B$15="Year 8 Boys",$B$15="Year 9 Boys",$B$15="Year 10-11 Boys")))),$B$8&lt;&gt;"One Keeper",$E$4&lt;&gt;$E$5,$A70&gt;IF($B$8="One Keeper",$B$5,$B$8),COUNTIF($C$32:$C69,$E$4)&lt;IF(AND($B$3="Stage 3",$B$5=20,$B$11&gt;11),1,IF(AND(OR($B$3="Stage 2",AND($B$3="Stage 3",OR($B$15="Year 10-11-12 Girls"))),$B$5&gt;20),MIN(3,MAX(2,Setup!$B$14)),2)),IFERROR(INDEX($E$18:$E$30,MATCH($E$4,$B$18:$B$30,0)),"No")="Yes",$C69&lt;&gt;$E$4,IF($B$7="Three-over spell",AND(MOD($A70-IF($B$8="One Keeper",$B$5,$B$8)-1,3)=0,($A70-IF($B$8="One Keeper",$B$5,$B$8))&lt;=1+(IF(AND($B$3="Stage 3",$B$5=20,$B$11&gt;11),1,IF(AND(OR($B$3="Stage 2",AND($B$3="Stage 3",OR($B$15="Year 10-11-12 Girls"))),$B$5&gt;20),MIN(3,MAX(2,Setup!$B$14)),2))-1)*3),AND(MOD($A70-IF($B$8="One Keeper",$B$5,$B$8),2)=1,($A70-IF($B$8="One Keeper",$B$5,$B$8))&lt;=IF(AND($B$3="Stage 3",$B$5=20,$B$11&gt;11),1,IF(AND(OR($B$3="Stage 2",AND($B$3="Stage 3",OR($B$15="Year 10-11-12 Girls"))),$B$5&gt;20),MIN(3,MAX(2,Setup!$B$14)),2))*2-1))))),OR($U70,AND($B$3="Stage 3",$B$5=20,$B$11&gt;11)),OR($BJ70,$BK70,$BL70,$BM70,$BN70,$BO70,$BP70,$BQ70,$BR70,$BS70,$BT70,$BU70,$BV70))</f>
        <v>0</v>
      </c>
      <c r="BJ70" s="20" t="b">
        <f>IF(AI70="",FALSE,AND(AI70&lt;&gt;IF(AND($B$3="Stage 3",OR($B$15="Year 8 Boys",$B$15="Year 9 Boys",$B$15="Year 10-11 Boys"),$B$8="One Keeper"),$E$4,""),AI70&lt;&gt;$B70,AI70&lt;&gt;$C69,IFERROR(INDEX($E$18:$E$30,MATCH(AI70,$B$18:$B$30,0)),"No")="Yes",COUNTIF($C$32:$C69,AI70)&lt;$B$6,COUNTIF($C$32:$C69,AI70)&lt;IF($B$3="Stage 1",MIN($B$6,MAX(1,INT($B$5/$B$11))),IF(AND($B$3="Stage 3",$B$5=20,$B$11&gt;11),1,IF(AND($B$3="Stage 3",OR($B$15="Year 10-11-12 Girls"),$B$5&gt;20),MAX(2,Setup!$B$14),Setup!$B$14)))))</f>
        <v>0</v>
      </c>
      <c r="BK70" s="20" t="b">
        <f>IF(AJ70="",FALSE,AND(AJ70&lt;&gt;IF(AND($B$3="Stage 3",OR($B$15="Year 8 Boys",$B$15="Year 9 Boys",$B$15="Year 10-11 Boys"),$B$8="One Keeper"),$E$4,""),AJ70&lt;&gt;$B70,AJ70&lt;&gt;$C69,IFERROR(INDEX($E$18:$E$30,MATCH(AJ70,$B$18:$B$30,0)),"No")="Yes",COUNTIF($C$32:$C69,AJ70)&lt;$B$6,COUNTIF($C$32:$C69,AJ70)&lt;IF($B$3="Stage 1",MIN($B$6,MAX(1,INT($B$5/$B$11))),IF(AND($B$3="Stage 3",$B$5=20,$B$11&gt;11),1,IF(AND($B$3="Stage 3",OR($B$15="Year 10-11-12 Girls"),$B$5&gt;20),MAX(2,Setup!$B$14),Setup!$B$14)))))</f>
        <v>0</v>
      </c>
      <c r="BL70" s="20" t="b">
        <f>IF(AK70="",FALSE,AND(AK70&lt;&gt;IF(AND($B$3="Stage 3",OR($B$15="Year 8 Boys",$B$15="Year 9 Boys",$B$15="Year 10-11 Boys"),$B$8="One Keeper"),$E$4,""),AK70&lt;&gt;$B70,AK70&lt;&gt;$C69,IFERROR(INDEX($E$18:$E$30,MATCH(AK70,$B$18:$B$30,0)),"No")="Yes",COUNTIF($C$32:$C69,AK70)&lt;$B$6,COUNTIF($C$32:$C69,AK70)&lt;IF($B$3="Stage 1",MIN($B$6,MAX(1,INT($B$5/$B$11))),IF(AND($B$3="Stage 3",$B$5=20,$B$11&gt;11),1,IF(AND($B$3="Stage 3",OR($B$15="Year 10-11-12 Girls"),$B$5&gt;20),MAX(2,Setup!$B$14),Setup!$B$14)))))</f>
        <v>0</v>
      </c>
      <c r="BM70" s="20" t="b">
        <f>IF(AL70="",FALSE,AND(AL70&lt;&gt;IF(AND($B$3="Stage 3",OR($B$15="Year 8 Boys",$B$15="Year 9 Boys",$B$15="Year 10-11 Boys"),$B$8="One Keeper"),$E$4,""),AL70&lt;&gt;$B70,AL70&lt;&gt;$C69,IFERROR(INDEX($E$18:$E$30,MATCH(AL70,$B$18:$B$30,0)),"No")="Yes",COUNTIF($C$32:$C69,AL70)&lt;$B$6,COUNTIF($C$32:$C69,AL70)&lt;IF($B$3="Stage 1",MIN($B$6,MAX(1,INT($B$5/$B$11))),IF(AND($B$3="Stage 3",$B$5=20,$B$11&gt;11),1,IF(AND($B$3="Stage 3",OR($B$15="Year 10-11-12 Girls"),$B$5&gt;20),MAX(2,Setup!$B$14),Setup!$B$14)))))</f>
        <v>0</v>
      </c>
      <c r="BN70" s="20" t="b">
        <f>IF(AM70="",FALSE,AND(AM70&lt;&gt;IF(AND($B$3="Stage 3",OR($B$15="Year 8 Boys",$B$15="Year 9 Boys",$B$15="Year 10-11 Boys"),$B$8="One Keeper"),$E$4,""),AM70&lt;&gt;$B70,AM70&lt;&gt;$C69,IFERROR(INDEX($E$18:$E$30,MATCH(AM70,$B$18:$B$30,0)),"No")="Yes",COUNTIF($C$32:$C69,AM70)&lt;$B$6,COUNTIF($C$32:$C69,AM70)&lt;IF($B$3="Stage 1",MIN($B$6,MAX(1,INT($B$5/$B$11))),IF(AND($B$3="Stage 3",$B$5=20,$B$11&gt;11),1,IF(AND($B$3="Stage 3",OR($B$15="Year 10-11-12 Girls"),$B$5&gt;20),MAX(2,Setup!$B$14),Setup!$B$14)))))</f>
        <v>0</v>
      </c>
      <c r="BO70" s="20" t="b">
        <f>IF(AN70="",FALSE,AND(AN70&lt;&gt;IF(AND($B$3="Stage 3",OR($B$15="Year 8 Boys",$B$15="Year 9 Boys",$B$15="Year 10-11 Boys"),$B$8="One Keeper"),$E$4,""),AN70&lt;&gt;$B70,AN70&lt;&gt;$C69,IFERROR(INDEX($E$18:$E$30,MATCH(AN70,$B$18:$B$30,0)),"No")="Yes",COUNTIF($C$32:$C69,AN70)&lt;$B$6,COUNTIF($C$32:$C69,AN70)&lt;IF($B$3="Stage 1",MIN($B$6,MAX(1,INT($B$5/$B$11))),IF(AND($B$3="Stage 3",$B$5=20,$B$11&gt;11),1,IF(AND($B$3="Stage 3",OR($B$15="Year 10-11-12 Girls"),$B$5&gt;20),MAX(2,Setup!$B$14),Setup!$B$14)))))</f>
        <v>0</v>
      </c>
      <c r="BP70" s="20" t="b">
        <f>IF(AO70="",FALSE,AND(AO70&lt;&gt;IF(AND($B$3="Stage 3",OR($B$15="Year 8 Boys",$B$15="Year 9 Boys",$B$15="Year 10-11 Boys"),$B$8="One Keeper"),$E$4,""),AO70&lt;&gt;$B70,AO70&lt;&gt;$C69,IFERROR(INDEX($E$18:$E$30,MATCH(AO70,$B$18:$B$30,0)),"No")="Yes",COUNTIF($C$32:$C69,AO70)&lt;$B$6,COUNTIF($C$32:$C69,AO70)&lt;IF($B$3="Stage 1",MIN($B$6,MAX(1,INT($B$5/$B$11))),IF(AND($B$3="Stage 3",$B$5=20,$B$11&gt;11),1,IF(AND($B$3="Stage 3",OR($B$15="Year 10-11-12 Girls"),$B$5&gt;20),MAX(2,Setup!$B$14),Setup!$B$14)))))</f>
        <v>0</v>
      </c>
      <c r="BQ70" s="20" t="b">
        <f>IF(AP70="",FALSE,AND(AP70&lt;&gt;IF(AND($B$3="Stage 3",OR($B$15="Year 8 Boys",$B$15="Year 9 Boys",$B$15="Year 10-11 Boys"),$B$8="One Keeper"),$E$4,""),AP70&lt;&gt;$B70,AP70&lt;&gt;$C69,IFERROR(INDEX($E$18:$E$30,MATCH(AP70,$B$18:$B$30,0)),"No")="Yes",COUNTIF($C$32:$C69,AP70)&lt;$B$6,COUNTIF($C$32:$C69,AP70)&lt;IF($B$3="Stage 1",MIN($B$6,MAX(1,INT($B$5/$B$11))),IF(AND($B$3="Stage 3",$B$5=20,$B$11&gt;11),1,IF(AND($B$3="Stage 3",OR($B$15="Year 10-11-12 Girls"),$B$5&gt;20),MAX(2,Setup!$B$14),Setup!$B$14)))))</f>
        <v>0</v>
      </c>
      <c r="BR70" s="20" t="b">
        <f>IF(AQ70="",FALSE,AND(AQ70&lt;&gt;IF(AND($B$3="Stage 3",OR($B$15="Year 8 Boys",$B$15="Year 9 Boys",$B$15="Year 10-11 Boys"),$B$8="One Keeper"),$E$4,""),AQ70&lt;&gt;$B70,AQ70&lt;&gt;$C69,IFERROR(INDEX($E$18:$E$30,MATCH(AQ70,$B$18:$B$30,0)),"No")="Yes",COUNTIF($C$32:$C69,AQ70)&lt;$B$6,COUNTIF($C$32:$C69,AQ70)&lt;IF($B$3="Stage 1",MIN($B$6,MAX(1,INT($B$5/$B$11))),IF(AND($B$3="Stage 3",$B$5=20,$B$11&gt;11),1,IF(AND($B$3="Stage 3",OR($B$15="Year 10-11-12 Girls"),$B$5&gt;20),MAX(2,Setup!$B$14),Setup!$B$14)))))</f>
        <v>0</v>
      </c>
      <c r="BS70" s="20" t="b">
        <f>IF(AR70="",FALSE,AND(AR70&lt;&gt;IF(AND($B$3="Stage 3",OR($B$15="Year 8 Boys",$B$15="Year 9 Boys",$B$15="Year 10-11 Boys"),$B$8="One Keeper"),$E$4,""),AR70&lt;&gt;$B70,AR70&lt;&gt;$C69,IFERROR(INDEX($E$18:$E$30,MATCH(AR70,$B$18:$B$30,0)),"No")="Yes",COUNTIF($C$32:$C69,AR70)&lt;$B$6,COUNTIF($C$32:$C69,AR70)&lt;IF($B$3="Stage 1",MIN($B$6,MAX(1,INT($B$5/$B$11))),IF(AND($B$3="Stage 3",$B$5=20,$B$11&gt;11),1,IF(AND($B$3="Stage 3",OR($B$15="Year 10-11-12 Girls"),$B$5&gt;20),MAX(2,Setup!$B$14),Setup!$B$14)))))</f>
        <v>0</v>
      </c>
      <c r="BT70" s="20" t="b">
        <f>IF(AS70="",FALSE,AND(AS70&lt;&gt;IF(AND($B$3="Stage 3",OR($B$15="Year 8 Boys",$B$15="Year 9 Boys",$B$15="Year 10-11 Boys"),$B$8="One Keeper"),$E$4,""),AS70&lt;&gt;$B70,AS70&lt;&gt;$C69,IFERROR(INDEX($E$18:$E$30,MATCH(AS70,$B$18:$B$30,0)),"No")="Yes",COUNTIF($C$32:$C69,AS70)&lt;$B$6,COUNTIF($C$32:$C69,AS70)&lt;IF($B$3="Stage 1",MIN($B$6,MAX(1,INT($B$5/$B$11))),IF(AND($B$3="Stage 3",$B$5=20,$B$11&gt;11),1,IF(AND($B$3="Stage 3",OR($B$15="Year 10-11-12 Girls"),$B$5&gt;20),MAX(2,Setup!$B$14),Setup!$B$14)))))</f>
        <v>0</v>
      </c>
      <c r="BU70" s="20" t="b">
        <f>IF(AT70="",FALSE,AND(AT70&lt;&gt;IF(AND($B$3="Stage 3",OR($B$15="Year 8 Boys",$B$15="Year 9 Boys",$B$15="Year 10-11 Boys"),$B$8="One Keeper"),$E$4,""),AT70&lt;&gt;$B70,AT70&lt;&gt;$C69,IFERROR(INDEX($E$18:$E$30,MATCH(AT70,$B$18:$B$30,0)),"No")="Yes",COUNTIF($C$32:$C69,AT70)&lt;$B$6,COUNTIF($C$32:$C69,AT70)&lt;IF($B$3="Stage 1",MIN($B$6,MAX(1,INT($B$5/$B$11))),IF(AND($B$3="Stage 3",$B$5=20,$B$11&gt;11),1,IF(AND($B$3="Stage 3",OR($B$15="Year 10-11-12 Girls"),$B$5&gt;20),MAX(2,Setup!$B$14),Setup!$B$14)))))</f>
        <v>0</v>
      </c>
      <c r="BV70" s="20" t="b">
        <f>IF(AU70="",FALSE,AND(AU70&lt;&gt;IF(AND($B$3="Stage 3",OR($B$15="Year 8 Boys",$B$15="Year 9 Boys",$B$15="Year 10-11 Boys"),$B$8="One Keeper"),$E$4,""),AU70&lt;&gt;$B70,AU70&lt;&gt;$C69,IFERROR(INDEX($E$18:$E$30,MATCH(AU70,$B$18:$B$30,0)),"No")="Yes",COUNTIF($C$32:$C69,AU70)&lt;$B$6,COUNTIF($C$32:$C69,AU70)&lt;IF($B$3="Stage 1",MIN($B$6,MAX(1,INT($B$5/$B$11))),IF(AND($B$3="Stage 3",$B$5=20,$B$11&gt;11),1,IF(AND($B$3="Stage 3",OR($B$15="Year 10-11-12 Girls"),$B$5&gt;20),MAX(2,Setup!$B$14),Setup!$B$14)))))</f>
        <v>0</v>
      </c>
      <c r="BW70" s="20"/>
      <c r="BX70" s="20"/>
      <c r="BY70" s="20"/>
      <c r="BZ70" s="20"/>
      <c r="CA70" s="20"/>
      <c r="CB70" s="20"/>
      <c r="CC70" s="20"/>
      <c r="CD70" s="20"/>
      <c r="CE70" s="20"/>
      <c r="CF70" s="20"/>
      <c r="CG70" s="20"/>
      <c r="CH70" s="20"/>
      <c r="CI70" s="20"/>
      <c r="CJ70" s="20"/>
      <c r="CK70" s="20"/>
    </row>
    <row r="71" spans="1:89" ht="15" customHeight="1">
      <c r="A71" s="18">
        <v>40</v>
      </c>
      <c r="B71" s="18" t="str">
        <f t="shared" si="5"/>
        <v/>
      </c>
      <c r="C71" s="18" t="str">
        <f t="shared" si="6"/>
        <v/>
      </c>
      <c r="D71" s="18">
        <f t="shared" si="7"/>
        <v>8</v>
      </c>
      <c r="E71" s="18" t="str">
        <f>IF($C71="","",COUNTIF($C$32:C71,$C71))</f>
        <v/>
      </c>
      <c r="F71" s="18" t="str">
        <f t="shared" si="8"/>
        <v/>
      </c>
      <c r="T71" s="20" t="str">
        <f t="shared" si="15"/>
        <v/>
      </c>
      <c r="U71" s="20" t="b">
        <f>IF(OR($B$3="Stage 2",AND($B$3="Stage 3",OR($B$15="Year 10-11-12 Girls"))),(IF(AND($P$18&lt;&gt;"",$P$18&lt;&gt;$E$4,COUNTIF($C$32:$C70,$P$18)&gt;=2),1,0)+IF(AND($P$19&lt;&gt;"",$P$19&lt;&gt;$E$4,COUNTIF($C$32:$C70,$P$19)&gt;=2),1,0)+IF(AND($P$20&lt;&gt;"",$P$20&lt;&gt;$E$4,COUNTIF($C$32:$C70,$P$20)&gt;=2),1,0)+IF(AND($P$21&lt;&gt;"",$P$21&lt;&gt;$E$4,COUNTIF($C$32:$C70,$P$21)&gt;=2),1,0)+IF(AND($P$22&lt;&gt;"",$P$22&lt;&gt;$E$4,COUNTIF($C$32:$C70,$P$22)&gt;=2),1,0)+IF(AND($P$23&lt;&gt;"",$P$23&lt;&gt;$E$4,COUNTIF($C$32:$C70,$P$23)&gt;=2),1,0)+IF(AND($P$24&lt;&gt;"",$P$24&lt;&gt;$E$4,COUNTIF($C$32:$C70,$P$24)&gt;=2),1,0)+IF(AND($P$25&lt;&gt;"",$P$25&lt;&gt;$E$4,COUNTIF($C$32:$C70,$P$25)&gt;=2),1,0)+IF(AND($P$26&lt;&gt;"",$P$26&lt;&gt;$E$4,COUNTIF($C$32:$C70,$P$26)&gt;=2),1,0)+IF(AND($P$27&lt;&gt;"",$P$27&lt;&gt;$E$4,COUNTIF($C$32:$C70,$P$27)&gt;=2),1,0)+IF(AND($P$28&lt;&gt;"",$P$28&lt;&gt;$E$4,COUNTIF($C$32:$C70,$P$28)&gt;=2),1,0)+IF(AND($P$29&lt;&gt;"",$P$29&lt;&gt;$E$4,COUNTIF($C$32:$C70,$P$29)&gt;=2),1,0)+IF(AND($P$30&lt;&gt;"",$P$30&lt;&gt;$E$4,COUNTIF($C$32:$C70,$P$30)&gt;=2),1,0))&gt;=MAX(0,$B$11-1),IF(AND($B$3="Stage 3",OR($B$15="Year 8 Boys",$B$15="Year 9 Boys",$B$15="Year 10-11 Boys")),(IF(AND($P$18&lt;&gt;"",COUNTIF($C$32:$C70,$P$18)&gt;=2),1,0)+IF(AND($P$19&lt;&gt;"",COUNTIF($C$32:$C70,$P$19)&gt;=2),1,0)+IF(AND($P$20&lt;&gt;"",COUNTIF($C$32:$C70,$P$20)&gt;=2),1,0)+IF(AND($P$21&lt;&gt;"",COUNTIF($C$32:$C70,$P$21)&gt;=2),1,0)+IF(AND($P$22&lt;&gt;"",COUNTIF($C$32:$C70,$P$22)&gt;=2),1,0)+IF(AND($P$23&lt;&gt;"",COUNTIF($C$32:$C70,$P$23)&gt;=2),1,0)+IF(AND($P$24&lt;&gt;"",COUNTIF($C$32:$C70,$P$24)&gt;=2),1,0)+IF(AND($P$25&lt;&gt;"",COUNTIF($C$32:$C70,$P$25)&gt;=2),1,0)+IF(AND($P$26&lt;&gt;"",COUNTIF($C$32:$C70,$P$26)&gt;=2),1,0)+IF(AND($P$27&lt;&gt;"",COUNTIF($C$32:$C70,$P$27)&gt;=2),1,0)+IF(AND($P$28&lt;&gt;"",COUNTIF($C$32:$C70,$P$28)&gt;=2),1,0)+IF(AND($P$29&lt;&gt;"",COUNTIF($C$32:$C70,$P$29)&gt;=2),1,0)+IF(AND($P$30&lt;&gt;"",COUNTIF($C$32:$C70,$P$30)&gt;=2),1,0))&gt;=7,TRUE))</f>
        <v>1</v>
      </c>
      <c r="V71" s="20" t="str">
        <f t="shared" si="32"/>
        <v/>
      </c>
      <c r="W71" s="20" t="str">
        <f t="shared" si="32"/>
        <v/>
      </c>
      <c r="X71" s="20" t="str">
        <f t="shared" si="32"/>
        <v/>
      </c>
      <c r="Y71" s="20" t="str">
        <f t="shared" si="32"/>
        <v/>
      </c>
      <c r="Z71" s="20" t="str">
        <f t="shared" si="32"/>
        <v/>
      </c>
      <c r="AA71" s="20" t="str">
        <f t="shared" si="32"/>
        <v/>
      </c>
      <c r="AB71" s="20" t="str">
        <f t="shared" si="32"/>
        <v/>
      </c>
      <c r="AC71" s="20" t="str">
        <f t="shared" si="32"/>
        <v/>
      </c>
      <c r="AD71" s="20" t="str">
        <f t="shared" si="32"/>
        <v/>
      </c>
      <c r="AE71" s="20" t="str">
        <f t="shared" si="32"/>
        <v/>
      </c>
      <c r="AF71" s="20" t="str">
        <f t="shared" si="32"/>
        <v/>
      </c>
      <c r="AG71" s="20" t="str">
        <f t="shared" si="32"/>
        <v/>
      </c>
      <c r="AH71" s="20" t="str">
        <f t="shared" si="32"/>
        <v/>
      </c>
      <c r="AI71" s="20" t="str">
        <f t="shared" si="17"/>
        <v/>
      </c>
      <c r="AJ71" s="20" t="str">
        <f t="shared" si="18"/>
        <v/>
      </c>
      <c r="AK71" s="20" t="str">
        <f t="shared" si="19"/>
        <v/>
      </c>
      <c r="AL71" s="20" t="str">
        <f t="shared" si="20"/>
        <v/>
      </c>
      <c r="AM71" s="20" t="str">
        <f t="shared" si="21"/>
        <v/>
      </c>
      <c r="AN71" s="20" t="str">
        <f t="shared" si="22"/>
        <v/>
      </c>
      <c r="AO71" s="20" t="str">
        <f t="shared" si="23"/>
        <v/>
      </c>
      <c r="AP71" s="20" t="str">
        <f t="shared" si="24"/>
        <v/>
      </c>
      <c r="AQ71" s="20" t="str">
        <f t="shared" si="25"/>
        <v/>
      </c>
      <c r="AR71" s="20" t="str">
        <f t="shared" si="26"/>
        <v/>
      </c>
      <c r="AS71" s="20" t="str">
        <f t="shared" si="27"/>
        <v/>
      </c>
      <c r="AT71" s="20" t="str">
        <f t="shared" si="28"/>
        <v/>
      </c>
      <c r="AU71" s="20" t="str">
        <f t="shared" si="29"/>
        <v/>
      </c>
      <c r="AV71" s="20" t="b">
        <f>IF(AI71="",FALSE,AND(AI71&lt;&gt;$B71,AI71&lt;&gt;$C70,IFERROR(INDEX($E$18:$E$30,MATCH(AI71,$B$18:$B$30,0)),"No")="Yes",IF(AND(OR($B$3="Stage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Girls"))),$B$5&gt;20),MIN(3,MAX(2,Setup!$B$14)),2))*2),AI71=$E$5,IF(AND(OR($B$3="Stage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Girls"))),$B$5&gt;20),MIN(3,MAX(2,Setup!$B$14)),2))*2-1))),AI71=$E$4,TRUE)),COUNTIF($C$32:$C70,AI71)&lt;$B$6,IF($BI71,COUNTIF($C$32:$C70,AI71)&lt;IF($B$3="Stage 1",MIN($B$6,MAX(1,INT($B$5/$B$11))),IF(AND($B$3="Stage 3",$B$5=20,$B$11&gt;11),1,IF(AND($B$3="Stage 3",OR($B$15="Year 10-11-12 Girls"),$B$5&gt;20),MAX(2,Setup!$B$14),Setup!$B$14))),IF(AND($B$3&lt;&gt;"Stage 2",$B$3&lt;&gt;"Stage 3"),TRUE,IF($U71,TRUE,COUNTIF($C$32:$C70,AI71)&lt;IF(AND($B$3="Stage 2",$B$5=20,AI71=$E$5,$A71&lt;=IF($B$8="One Keeper",$B$5,$B$8)),2,IF(AND(OR($B$3="Stage 2",AND($B$3="Stage 3",OR($B$15="Year 10-11-12 Girls"))),AI71=$E$5,$A71&lt;=IF($B$8="One Keeper",$B$5,$B$8)),3,$B$9)))))))</f>
        <v>0</v>
      </c>
      <c r="AW71" s="20" t="b">
        <f>IF(AJ71="",FALSE,AND(AJ71&lt;&gt;$B71,AJ71&lt;&gt;$C70,IFERROR(INDEX($E$18:$E$30,MATCH(AJ71,$B$18:$B$30,0)),"No")="Yes",IF(AND(OR($B$3="Stage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Girls"))),$B$5&gt;20),MIN(3,MAX(2,Setup!$B$14)),2))*2),AJ71=$E$5,IF(AND(OR($B$3="Stage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Girls"))),$B$5&gt;20),MIN(3,MAX(2,Setup!$B$14)),2))*2-1))),AJ71=$E$4,TRUE)),COUNTIF($C$32:$C70,AJ71)&lt;$B$6,IF($BI71,COUNTIF($C$32:$C70,AJ71)&lt;IF($B$3="Stage 1",MIN($B$6,MAX(1,INT($B$5/$B$11))),IF(AND($B$3="Stage 3",$B$5=20,$B$11&gt;11),1,IF(AND($B$3="Stage 3",OR($B$15="Year 10-11-12 Girls"),$B$5&gt;20),MAX(2,Setup!$B$14),Setup!$B$14))),IF(AND($B$3&lt;&gt;"Stage 2",$B$3&lt;&gt;"Stage 3"),TRUE,IF($U71,TRUE,COUNTIF($C$32:$C70,AJ71)&lt;IF(AND($B$3="Stage 2",$B$5=20,AJ71=$E$5,$A71&lt;=IF($B$8="One Keeper",$B$5,$B$8)),2,IF(AND(OR($B$3="Stage 2",AND($B$3="Stage 3",OR($B$15="Year 10-11-12 Girls"))),AJ71=$E$5,$A71&lt;=IF($B$8="One Keeper",$B$5,$B$8)),3,$B$9)))))))</f>
        <v>0</v>
      </c>
      <c r="AX71" s="20" t="b">
        <f>IF(AK71="",FALSE,AND(AK71&lt;&gt;$B71,AK71&lt;&gt;$C70,IFERROR(INDEX($E$18:$E$30,MATCH(AK71,$B$18:$B$30,0)),"No")="Yes",IF(AND(OR($B$3="Stage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Girls"))),$B$5&gt;20),MIN(3,MAX(2,Setup!$B$14)),2))*2),AK71=$E$5,IF(AND(OR($B$3="Stage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Girls"))),$B$5&gt;20),MIN(3,MAX(2,Setup!$B$14)),2))*2-1))),AK71=$E$4,TRUE)),COUNTIF($C$32:$C70,AK71)&lt;$B$6,IF($BI71,COUNTIF($C$32:$C70,AK71)&lt;IF($B$3="Stage 1",MIN($B$6,MAX(1,INT($B$5/$B$11))),IF(AND($B$3="Stage 3",$B$5=20,$B$11&gt;11),1,IF(AND($B$3="Stage 3",OR($B$15="Year 10-11-12 Girls"),$B$5&gt;20),MAX(2,Setup!$B$14),Setup!$B$14))),IF(AND($B$3&lt;&gt;"Stage 2",$B$3&lt;&gt;"Stage 3"),TRUE,IF($U71,TRUE,COUNTIF($C$32:$C70,AK71)&lt;IF(AND($B$3="Stage 2",$B$5=20,AK71=$E$5,$A71&lt;=IF($B$8="One Keeper",$B$5,$B$8)),2,IF(AND(OR($B$3="Stage 2",AND($B$3="Stage 3",OR($B$15="Year 10-11-12 Girls"))),AK71=$E$5,$A71&lt;=IF($B$8="One Keeper",$B$5,$B$8)),3,$B$9)))))))</f>
        <v>0</v>
      </c>
      <c r="AY71" s="20" t="b">
        <f>IF(AL71="",FALSE,AND(AL71&lt;&gt;$B71,AL71&lt;&gt;$C70,IFERROR(INDEX($E$18:$E$30,MATCH(AL71,$B$18:$B$30,0)),"No")="Yes",IF(AND(OR($B$3="Stage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Girls"))),$B$5&gt;20),MIN(3,MAX(2,Setup!$B$14)),2))*2),AL71=$E$5,IF(AND(OR($B$3="Stage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Girls"))),$B$5&gt;20),MIN(3,MAX(2,Setup!$B$14)),2))*2-1))),AL71=$E$4,TRUE)),COUNTIF($C$32:$C70,AL71)&lt;$B$6,IF($BI71,COUNTIF($C$32:$C70,AL71)&lt;IF($B$3="Stage 1",MIN($B$6,MAX(1,INT($B$5/$B$11))),IF(AND($B$3="Stage 3",$B$5=20,$B$11&gt;11),1,IF(AND($B$3="Stage 3",OR($B$15="Year 10-11-12 Girls"),$B$5&gt;20),MAX(2,Setup!$B$14),Setup!$B$14))),IF(AND($B$3&lt;&gt;"Stage 2",$B$3&lt;&gt;"Stage 3"),TRUE,IF($U71,TRUE,COUNTIF($C$32:$C70,AL71)&lt;IF(AND($B$3="Stage 2",$B$5=20,AL71=$E$5,$A71&lt;=IF($B$8="One Keeper",$B$5,$B$8)),2,IF(AND(OR($B$3="Stage 2",AND($B$3="Stage 3",OR($B$15="Year 10-11-12 Girls"))),AL71=$E$5,$A71&lt;=IF($B$8="One Keeper",$B$5,$B$8)),3,$B$9)))))))</f>
        <v>0</v>
      </c>
      <c r="AZ71" s="20" t="b">
        <f>IF(AM71="",FALSE,AND(AM71&lt;&gt;$B71,AM71&lt;&gt;$C70,IFERROR(INDEX($E$18:$E$30,MATCH(AM71,$B$18:$B$30,0)),"No")="Yes",IF(AND(OR($B$3="Stage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Girls"))),$B$5&gt;20),MIN(3,MAX(2,Setup!$B$14)),2))*2),AM71=$E$5,IF(AND(OR($B$3="Stage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Girls"))),$B$5&gt;20),MIN(3,MAX(2,Setup!$B$14)),2))*2-1))),AM71=$E$4,TRUE)),COUNTIF($C$32:$C70,AM71)&lt;$B$6,IF($BI71,COUNTIF($C$32:$C70,AM71)&lt;IF($B$3="Stage 1",MIN($B$6,MAX(1,INT($B$5/$B$11))),IF(AND($B$3="Stage 3",$B$5=20,$B$11&gt;11),1,IF(AND($B$3="Stage 3",OR($B$15="Year 10-11-12 Girls"),$B$5&gt;20),MAX(2,Setup!$B$14),Setup!$B$14))),IF(AND($B$3&lt;&gt;"Stage 2",$B$3&lt;&gt;"Stage 3"),TRUE,IF($U71,TRUE,COUNTIF($C$32:$C70,AM71)&lt;IF(AND($B$3="Stage 2",$B$5=20,AM71=$E$5,$A71&lt;=IF($B$8="One Keeper",$B$5,$B$8)),2,IF(AND(OR($B$3="Stage 2",AND($B$3="Stage 3",OR($B$15="Year 10-11-12 Girls"))),AM71=$E$5,$A71&lt;=IF($B$8="One Keeper",$B$5,$B$8)),3,$B$9)))))))</f>
        <v>0</v>
      </c>
      <c r="BA71" s="20" t="b">
        <f>IF(AN71="",FALSE,AND(AN71&lt;&gt;$B71,AN71&lt;&gt;$C70,IFERROR(INDEX($E$18:$E$30,MATCH(AN71,$B$18:$B$30,0)),"No")="Yes",IF(AND(OR($B$3="Stage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Girls"))),$B$5&gt;20),MIN(3,MAX(2,Setup!$B$14)),2))*2),AN71=$E$5,IF(AND(OR($B$3="Stage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Girls"))),$B$5&gt;20),MIN(3,MAX(2,Setup!$B$14)),2))*2-1))),AN71=$E$4,TRUE)),COUNTIF($C$32:$C70,AN71)&lt;$B$6,IF($BI71,COUNTIF($C$32:$C70,AN71)&lt;IF($B$3="Stage 1",MIN($B$6,MAX(1,INT($B$5/$B$11))),IF(AND($B$3="Stage 3",$B$5=20,$B$11&gt;11),1,IF(AND($B$3="Stage 3",OR($B$15="Year 10-11-12 Girls"),$B$5&gt;20),MAX(2,Setup!$B$14),Setup!$B$14))),IF(AND($B$3&lt;&gt;"Stage 2",$B$3&lt;&gt;"Stage 3"),TRUE,IF($U71,TRUE,COUNTIF($C$32:$C70,AN71)&lt;IF(AND($B$3="Stage 2",$B$5=20,AN71=$E$5,$A71&lt;=IF($B$8="One Keeper",$B$5,$B$8)),2,IF(AND(OR($B$3="Stage 2",AND($B$3="Stage 3",OR($B$15="Year 10-11-12 Girls"))),AN71=$E$5,$A71&lt;=IF($B$8="One Keeper",$B$5,$B$8)),3,$B$9)))))))</f>
        <v>0</v>
      </c>
      <c r="BB71" s="20" t="b">
        <f>IF(AO71="",FALSE,AND(AO71&lt;&gt;$B71,AO71&lt;&gt;$C70,IFERROR(INDEX($E$18:$E$30,MATCH(AO71,$B$18:$B$30,0)),"No")="Yes",IF(AND(OR($B$3="Stage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Girls"))),$B$5&gt;20),MIN(3,MAX(2,Setup!$B$14)),2))*2),AO71=$E$5,IF(AND(OR($B$3="Stage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Girls"))),$B$5&gt;20),MIN(3,MAX(2,Setup!$B$14)),2))*2-1))),AO71=$E$4,TRUE)),COUNTIF($C$32:$C70,AO71)&lt;$B$6,IF($BI71,COUNTIF($C$32:$C70,AO71)&lt;IF($B$3="Stage 1",MIN($B$6,MAX(1,INT($B$5/$B$11))),IF(AND($B$3="Stage 3",$B$5=20,$B$11&gt;11),1,IF(AND($B$3="Stage 3",OR($B$15="Year 10-11-12 Girls"),$B$5&gt;20),MAX(2,Setup!$B$14),Setup!$B$14))),IF(AND($B$3&lt;&gt;"Stage 2",$B$3&lt;&gt;"Stage 3"),TRUE,IF($U71,TRUE,COUNTIF($C$32:$C70,AO71)&lt;IF(AND($B$3="Stage 2",$B$5=20,AO71=$E$5,$A71&lt;=IF($B$8="One Keeper",$B$5,$B$8)),2,IF(AND(OR($B$3="Stage 2",AND($B$3="Stage 3",OR($B$15="Year 10-11-12 Girls"))),AO71=$E$5,$A71&lt;=IF($B$8="One Keeper",$B$5,$B$8)),3,$B$9)))))))</f>
        <v>0</v>
      </c>
      <c r="BC71" s="20" t="b">
        <f>IF(AP71="",FALSE,AND(AP71&lt;&gt;$B71,AP71&lt;&gt;$C70,IFERROR(INDEX($E$18:$E$30,MATCH(AP71,$B$18:$B$30,0)),"No")="Yes",IF(AND(OR($B$3="Stage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Girls"))),$B$5&gt;20),MIN(3,MAX(2,Setup!$B$14)),2))*2),AP71=$E$5,IF(AND(OR($B$3="Stage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Girls"))),$B$5&gt;20),MIN(3,MAX(2,Setup!$B$14)),2))*2-1))),AP71=$E$4,TRUE)),COUNTIF($C$32:$C70,AP71)&lt;$B$6,IF($BI71,COUNTIF($C$32:$C70,AP71)&lt;IF($B$3="Stage 1",MIN($B$6,MAX(1,INT($B$5/$B$11))),IF(AND($B$3="Stage 3",$B$5=20,$B$11&gt;11),1,IF(AND($B$3="Stage 3",OR($B$15="Year 10-11-12 Girls"),$B$5&gt;20),MAX(2,Setup!$B$14),Setup!$B$14))),IF(AND($B$3&lt;&gt;"Stage 2",$B$3&lt;&gt;"Stage 3"),TRUE,IF($U71,TRUE,COUNTIF($C$32:$C70,AP71)&lt;IF(AND($B$3="Stage 2",$B$5=20,AP71=$E$5,$A71&lt;=IF($B$8="One Keeper",$B$5,$B$8)),2,IF(AND(OR($B$3="Stage 2",AND($B$3="Stage 3",OR($B$15="Year 10-11-12 Girls"))),AP71=$E$5,$A71&lt;=IF($B$8="One Keeper",$B$5,$B$8)),3,$B$9)))))))</f>
        <v>0</v>
      </c>
      <c r="BD71" s="20" t="b">
        <f>IF(AQ71="",FALSE,AND(AQ71&lt;&gt;$B71,AQ71&lt;&gt;$C70,IFERROR(INDEX($E$18:$E$30,MATCH(AQ71,$B$18:$B$30,0)),"No")="Yes",IF(AND(OR($B$3="Stage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Girls"))),$B$5&gt;20),MIN(3,MAX(2,Setup!$B$14)),2))*2),AQ71=$E$5,IF(AND(OR($B$3="Stage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Girls"))),$B$5&gt;20),MIN(3,MAX(2,Setup!$B$14)),2))*2-1))),AQ71=$E$4,TRUE)),COUNTIF($C$32:$C70,AQ71)&lt;$B$6,IF($BI71,COUNTIF($C$32:$C70,AQ71)&lt;IF($B$3="Stage 1",MIN($B$6,MAX(1,INT($B$5/$B$11))),IF(AND($B$3="Stage 3",$B$5=20,$B$11&gt;11),1,IF(AND($B$3="Stage 3",OR($B$15="Year 10-11-12 Girls"),$B$5&gt;20),MAX(2,Setup!$B$14),Setup!$B$14))),IF(AND($B$3&lt;&gt;"Stage 2",$B$3&lt;&gt;"Stage 3"),TRUE,IF($U71,TRUE,COUNTIF($C$32:$C70,AQ71)&lt;IF(AND($B$3="Stage 2",$B$5=20,AQ71=$E$5,$A71&lt;=IF($B$8="One Keeper",$B$5,$B$8)),2,IF(AND(OR($B$3="Stage 2",AND($B$3="Stage 3",OR($B$15="Year 10-11-12 Girls"))),AQ71=$E$5,$A71&lt;=IF($B$8="One Keeper",$B$5,$B$8)),3,$B$9)))))))</f>
        <v>0</v>
      </c>
      <c r="BE71" s="20" t="b">
        <f>IF(AR71="",FALSE,AND(AR71&lt;&gt;$B71,AR71&lt;&gt;$C70,IFERROR(INDEX($E$18:$E$30,MATCH(AR71,$B$18:$B$30,0)),"No")="Yes",IF(AND(OR($B$3="Stage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Girls"))),$B$5&gt;20),MIN(3,MAX(2,Setup!$B$14)),2))*2),AR71=$E$5,IF(AND(OR($B$3="Stage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Girls"))),$B$5&gt;20),MIN(3,MAX(2,Setup!$B$14)),2))*2-1))),AR71=$E$4,TRUE)),COUNTIF($C$32:$C70,AR71)&lt;$B$6,IF($BI71,COUNTIF($C$32:$C70,AR71)&lt;IF($B$3="Stage 1",MIN($B$6,MAX(1,INT($B$5/$B$11))),IF(AND($B$3="Stage 3",$B$5=20,$B$11&gt;11),1,IF(AND($B$3="Stage 3",OR($B$15="Year 10-11-12 Girls"),$B$5&gt;20),MAX(2,Setup!$B$14),Setup!$B$14))),IF(AND($B$3&lt;&gt;"Stage 2",$B$3&lt;&gt;"Stage 3"),TRUE,IF($U71,TRUE,COUNTIF($C$32:$C70,AR71)&lt;IF(AND($B$3="Stage 2",$B$5=20,AR71=$E$5,$A71&lt;=IF($B$8="One Keeper",$B$5,$B$8)),2,IF(AND(OR($B$3="Stage 2",AND($B$3="Stage 3",OR($B$15="Year 10-11-12 Girls"))),AR71=$E$5,$A71&lt;=IF($B$8="One Keeper",$B$5,$B$8)),3,$B$9)))))))</f>
        <v>0</v>
      </c>
      <c r="BF71" s="20" t="b">
        <f>IF(AS71="",FALSE,AND(AS71&lt;&gt;$B71,AS71&lt;&gt;$C70,IFERROR(INDEX($E$18:$E$30,MATCH(AS71,$B$18:$B$30,0)),"No")="Yes",IF(AND(OR($B$3="Stage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Girls"))),$B$5&gt;20),MIN(3,MAX(2,Setup!$B$14)),2))*2),AS71=$E$5,IF(AND(OR($B$3="Stage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Girls"))),$B$5&gt;20),MIN(3,MAX(2,Setup!$B$14)),2))*2-1))),AS71=$E$4,TRUE)),COUNTIF($C$32:$C70,AS71)&lt;$B$6,IF($BI71,COUNTIF($C$32:$C70,AS71)&lt;IF($B$3="Stage 1",MIN($B$6,MAX(1,INT($B$5/$B$11))),IF(AND($B$3="Stage 3",$B$5=20,$B$11&gt;11),1,IF(AND($B$3="Stage 3",OR($B$15="Year 10-11-12 Girls"),$B$5&gt;20),MAX(2,Setup!$B$14),Setup!$B$14))),IF(AND($B$3&lt;&gt;"Stage 2",$B$3&lt;&gt;"Stage 3"),TRUE,IF($U71,TRUE,COUNTIF($C$32:$C70,AS71)&lt;IF(AND($B$3="Stage 2",$B$5=20,AS71=$E$5,$A71&lt;=IF($B$8="One Keeper",$B$5,$B$8)),2,IF(AND(OR($B$3="Stage 2",AND($B$3="Stage 3",OR($B$15="Year 10-11-12 Girls"))),AS71=$E$5,$A71&lt;=IF($B$8="One Keeper",$B$5,$B$8)),3,$B$9)))))))</f>
        <v>0</v>
      </c>
      <c r="BG71" s="20" t="b">
        <f>IF(AT71="",FALSE,AND(AT71&lt;&gt;$B71,AT71&lt;&gt;$C70,IFERROR(INDEX($E$18:$E$30,MATCH(AT71,$B$18:$B$30,0)),"No")="Yes",IF(AND(OR($B$3="Stage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Girls"))),$B$5&gt;20),MIN(3,MAX(2,Setup!$B$14)),2))*2),AT71=$E$5,IF(AND(OR($B$3="Stage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Girls"))),$B$5&gt;20),MIN(3,MAX(2,Setup!$B$14)),2))*2-1))),AT71=$E$4,TRUE)),COUNTIF($C$32:$C70,AT71)&lt;$B$6,IF($BI71,COUNTIF($C$32:$C70,AT71)&lt;IF($B$3="Stage 1",MIN($B$6,MAX(1,INT($B$5/$B$11))),IF(AND($B$3="Stage 3",$B$5=20,$B$11&gt;11),1,IF(AND($B$3="Stage 3",OR($B$15="Year 10-11-12 Girls"),$B$5&gt;20),MAX(2,Setup!$B$14),Setup!$B$14))),IF(AND($B$3&lt;&gt;"Stage 2",$B$3&lt;&gt;"Stage 3"),TRUE,IF($U71,TRUE,COUNTIF($C$32:$C70,AT71)&lt;IF(AND($B$3="Stage 2",$B$5=20,AT71=$E$5,$A71&lt;=IF($B$8="One Keeper",$B$5,$B$8)),2,IF(AND(OR($B$3="Stage 2",AND($B$3="Stage 3",OR($B$15="Year 10-11-12 Girls"))),AT71=$E$5,$A71&lt;=IF($B$8="One Keeper",$B$5,$B$8)),3,$B$9)))))))</f>
        <v>0</v>
      </c>
      <c r="BH71" s="20" t="b">
        <f>IF(AU71="",FALSE,AND(AU71&lt;&gt;$B71,AU71&lt;&gt;$C70,IFERROR(INDEX($E$18:$E$30,MATCH(AU71,$B$18:$B$30,0)),"No")="Yes",IF(AND(OR($B$3="Stage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Girls"))),$B$5&gt;20),MIN(3,MAX(2,Setup!$B$14)),2))*2),AU71=$E$5,IF(AND(OR($B$3="Stage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Girls"))),$B$5&gt;20),MIN(3,MAX(2,Setup!$B$14)),2))*2-1))),AU71=$E$4,TRUE)),COUNTIF($C$32:$C70,AU71)&lt;$B$6,IF($BI71,COUNTIF($C$32:$C70,AU71)&lt;IF($B$3="Stage 1",MIN($B$6,MAX(1,INT($B$5/$B$11))),IF(AND($B$3="Stage 3",$B$5=20,$B$11&gt;11),1,IF(AND($B$3="Stage 3",OR($B$15="Year 10-11-12 Girls"),$B$5&gt;20),MAX(2,Setup!$B$14),Setup!$B$14))),IF(AND($B$3&lt;&gt;"Stage 2",$B$3&lt;&gt;"Stage 3"),TRUE,IF($U71,TRUE,COUNTIF($C$32:$C70,AU71)&lt;IF(AND($B$3="Stage 2",$B$5=20,AU71=$E$5,$A71&lt;=IF($B$8="One Keeper",$B$5,$B$8)),2,IF(AND(OR($B$3="Stage 2",AND($B$3="Stage 3",OR($B$15="Year 10-11-12 Girls"))),AU71=$E$5,$A71&lt;=IF($B$8="One Keeper",$B$5,$B$8)),3,$B$9)))))))</f>
        <v>0</v>
      </c>
      <c r="BI71" s="20" t="b">
        <f>AND(OR($B$3="Stage 1",AND($B$3="Stage 3",$B$5=20,$B$11&gt;11),AND($B$3="Stage 3",OR(OR($B$15="Year 10-11-12 Girls"),OR($B$15="Year 8 Boys",$B$15="Year 9 Boys",$B$15="Year 10-11 Boys")),$B$5&gt;20),AND($B$3="Stage 2",$B$5&gt;30)),NOT(OR(AND(OR($B$3="Stage 1",$B$3="Stage 2",AND($B$3="Stage 3",OR(OR($B$15="Year 10-11-12 Girls"),OR($B$15="Year 8 Boys",$B$15="Year 9 Boys",$B$15="Year 10-11 Boys")))),$B$8&lt;&gt;"One Keeper",$E$4&lt;&gt;$E$5,$A71&lt;=IF($B$8="One Keeper",$B$5,$B$8),COUNTIF($C$32:$C70,$E$5)&lt;IF(AND($B$3="Stage 3",$B$5=20,$B$11&gt;11),1,IF(AND(OR($B$3="Stage 2",AND($B$3="Stage 3",OR($B$15="Year 10-11-12 Girls"))),$B$5&gt;20),MIN(3,MAX(2,Setup!$B$14)),2)),IFERROR(INDEX($E$18:$E$30,MATCH($E$5,$B$18:$B$30,0)),"No")="Yes",$C70&lt;&gt;$E$5,MOD($A71,2)=0,$A71&lt;=IF(AND($B$3="Stage 3",$B$5=20,$B$11&gt;11),1,IF(AND(OR($B$3="Stage 2",AND($B$3="Stage 3",OR($B$15="Year 10-11-12 Girls"))),$B$5&gt;20),MIN(3,MAX(2,Setup!$B$14)),2))*2),AND(OR($B$3="Stage 1",$B$3="Stage 2",AND($B$3="Stage 3",OR(OR($B$15="Year 10-11-12 Girls"),OR($B$15="Year 8 Boys",$B$15="Year 9 Boys",$B$15="Year 10-11 Boys")))),$B$8&lt;&gt;"One Keeper",$E$4&lt;&gt;$E$5,$A71&gt;IF($B$8="One Keeper",$B$5,$B$8),COUNTIF($C$32:$C70,$E$4)&lt;IF(AND($B$3="Stage 3",$B$5=20,$B$11&gt;11),1,IF(AND(OR($B$3="Stage 2",AND($B$3="Stage 3",OR($B$15="Year 10-11-12 Girls"))),$B$5&gt;20),MIN(3,MAX(2,Setup!$B$14)),2)),IFERROR(INDEX($E$18:$E$30,MATCH($E$4,$B$18:$B$30,0)),"No")="Yes",$C70&lt;&gt;$E$4,IF($B$7="Three-over spell",AND(MOD($A71-IF($B$8="One Keeper",$B$5,$B$8)-1,3)=0,($A71-IF($B$8="One Keeper",$B$5,$B$8))&lt;=1+(IF(AND($B$3="Stage 3",$B$5=20,$B$11&gt;11),1,IF(AND(OR($B$3="Stage 2",AND($B$3="Stage 3",OR($B$15="Year 10-11-12 Girls"))),$B$5&gt;20),MIN(3,MAX(2,Setup!$B$14)),2))-1)*3),AND(MOD($A71-IF($B$8="One Keeper",$B$5,$B$8),2)=1,($A71-IF($B$8="One Keeper",$B$5,$B$8))&lt;=IF(AND($B$3="Stage 3",$B$5=20,$B$11&gt;11),1,IF(AND(OR($B$3="Stage 2",AND($B$3="Stage 3",OR($B$15="Year 10-11-12 Girls"))),$B$5&gt;20),MIN(3,MAX(2,Setup!$B$14)),2))*2-1))))),OR($U71,AND($B$3="Stage 3",$B$5=20,$B$11&gt;11)),OR($BJ71,$BK71,$BL71,$BM71,$BN71,$BO71,$BP71,$BQ71,$BR71,$BS71,$BT71,$BU71,$BV71))</f>
        <v>0</v>
      </c>
      <c r="BJ71" s="20" t="b">
        <f>IF(AI71="",FALSE,AND(AI71&lt;&gt;IF(AND($B$3="Stage 3",OR($B$15="Year 8 Boys",$B$15="Year 9 Boys",$B$15="Year 10-11 Boys"),$B$8="One Keeper"),$E$4,""),AI71&lt;&gt;$B71,AI71&lt;&gt;$C70,IFERROR(INDEX($E$18:$E$30,MATCH(AI71,$B$18:$B$30,0)),"No")="Yes",COUNTIF($C$32:$C70,AI71)&lt;$B$6,COUNTIF($C$32:$C70,AI71)&lt;IF($B$3="Stage 1",MIN($B$6,MAX(1,INT($B$5/$B$11))),IF(AND($B$3="Stage 3",$B$5=20,$B$11&gt;11),1,IF(AND($B$3="Stage 3",OR($B$15="Year 10-11-12 Girls"),$B$5&gt;20),MAX(2,Setup!$B$14),Setup!$B$14)))))</f>
        <v>0</v>
      </c>
      <c r="BK71" s="20" t="b">
        <f>IF(AJ71="",FALSE,AND(AJ71&lt;&gt;IF(AND($B$3="Stage 3",OR($B$15="Year 8 Boys",$B$15="Year 9 Boys",$B$15="Year 10-11 Boys"),$B$8="One Keeper"),$E$4,""),AJ71&lt;&gt;$B71,AJ71&lt;&gt;$C70,IFERROR(INDEX($E$18:$E$30,MATCH(AJ71,$B$18:$B$30,0)),"No")="Yes",COUNTIF($C$32:$C70,AJ71)&lt;$B$6,COUNTIF($C$32:$C70,AJ71)&lt;IF($B$3="Stage 1",MIN($B$6,MAX(1,INT($B$5/$B$11))),IF(AND($B$3="Stage 3",$B$5=20,$B$11&gt;11),1,IF(AND($B$3="Stage 3",OR($B$15="Year 10-11-12 Girls"),$B$5&gt;20),MAX(2,Setup!$B$14),Setup!$B$14)))))</f>
        <v>0</v>
      </c>
      <c r="BL71" s="20" t="b">
        <f>IF(AK71="",FALSE,AND(AK71&lt;&gt;IF(AND($B$3="Stage 3",OR($B$15="Year 8 Boys",$B$15="Year 9 Boys",$B$15="Year 10-11 Boys"),$B$8="One Keeper"),$E$4,""),AK71&lt;&gt;$B71,AK71&lt;&gt;$C70,IFERROR(INDEX($E$18:$E$30,MATCH(AK71,$B$18:$B$30,0)),"No")="Yes",COUNTIF($C$32:$C70,AK71)&lt;$B$6,COUNTIF($C$32:$C70,AK71)&lt;IF($B$3="Stage 1",MIN($B$6,MAX(1,INT($B$5/$B$11))),IF(AND($B$3="Stage 3",$B$5=20,$B$11&gt;11),1,IF(AND($B$3="Stage 3",OR($B$15="Year 10-11-12 Girls"),$B$5&gt;20),MAX(2,Setup!$B$14),Setup!$B$14)))))</f>
        <v>0</v>
      </c>
      <c r="BM71" s="20" t="b">
        <f>IF(AL71="",FALSE,AND(AL71&lt;&gt;IF(AND($B$3="Stage 3",OR($B$15="Year 8 Boys",$B$15="Year 9 Boys",$B$15="Year 10-11 Boys"),$B$8="One Keeper"),$E$4,""),AL71&lt;&gt;$B71,AL71&lt;&gt;$C70,IFERROR(INDEX($E$18:$E$30,MATCH(AL71,$B$18:$B$30,0)),"No")="Yes",COUNTIF($C$32:$C70,AL71)&lt;$B$6,COUNTIF($C$32:$C70,AL71)&lt;IF($B$3="Stage 1",MIN($B$6,MAX(1,INT($B$5/$B$11))),IF(AND($B$3="Stage 3",$B$5=20,$B$11&gt;11),1,IF(AND($B$3="Stage 3",OR($B$15="Year 10-11-12 Girls"),$B$5&gt;20),MAX(2,Setup!$B$14),Setup!$B$14)))))</f>
        <v>0</v>
      </c>
      <c r="BN71" s="20" t="b">
        <f>IF(AM71="",FALSE,AND(AM71&lt;&gt;IF(AND($B$3="Stage 3",OR($B$15="Year 8 Boys",$B$15="Year 9 Boys",$B$15="Year 10-11 Boys"),$B$8="One Keeper"),$E$4,""),AM71&lt;&gt;$B71,AM71&lt;&gt;$C70,IFERROR(INDEX($E$18:$E$30,MATCH(AM71,$B$18:$B$30,0)),"No")="Yes",COUNTIF($C$32:$C70,AM71)&lt;$B$6,COUNTIF($C$32:$C70,AM71)&lt;IF($B$3="Stage 1",MIN($B$6,MAX(1,INT($B$5/$B$11))),IF(AND($B$3="Stage 3",$B$5=20,$B$11&gt;11),1,IF(AND($B$3="Stage 3",OR($B$15="Year 10-11-12 Girls"),$B$5&gt;20),MAX(2,Setup!$B$14),Setup!$B$14)))))</f>
        <v>0</v>
      </c>
      <c r="BO71" s="20" t="b">
        <f>IF(AN71="",FALSE,AND(AN71&lt;&gt;IF(AND($B$3="Stage 3",OR($B$15="Year 8 Boys",$B$15="Year 9 Boys",$B$15="Year 10-11 Boys"),$B$8="One Keeper"),$E$4,""),AN71&lt;&gt;$B71,AN71&lt;&gt;$C70,IFERROR(INDEX($E$18:$E$30,MATCH(AN71,$B$18:$B$30,0)),"No")="Yes",COUNTIF($C$32:$C70,AN71)&lt;$B$6,COUNTIF($C$32:$C70,AN71)&lt;IF($B$3="Stage 1",MIN($B$6,MAX(1,INT($B$5/$B$11))),IF(AND($B$3="Stage 3",$B$5=20,$B$11&gt;11),1,IF(AND($B$3="Stage 3",OR($B$15="Year 10-11-12 Girls"),$B$5&gt;20),MAX(2,Setup!$B$14),Setup!$B$14)))))</f>
        <v>0</v>
      </c>
      <c r="BP71" s="20" t="b">
        <f>IF(AO71="",FALSE,AND(AO71&lt;&gt;IF(AND($B$3="Stage 3",OR($B$15="Year 8 Boys",$B$15="Year 9 Boys",$B$15="Year 10-11 Boys"),$B$8="One Keeper"),$E$4,""),AO71&lt;&gt;$B71,AO71&lt;&gt;$C70,IFERROR(INDEX($E$18:$E$30,MATCH(AO71,$B$18:$B$30,0)),"No")="Yes",COUNTIF($C$32:$C70,AO71)&lt;$B$6,COUNTIF($C$32:$C70,AO71)&lt;IF($B$3="Stage 1",MIN($B$6,MAX(1,INT($B$5/$B$11))),IF(AND($B$3="Stage 3",$B$5=20,$B$11&gt;11),1,IF(AND($B$3="Stage 3",OR($B$15="Year 10-11-12 Girls"),$B$5&gt;20),MAX(2,Setup!$B$14),Setup!$B$14)))))</f>
        <v>0</v>
      </c>
      <c r="BQ71" s="20" t="b">
        <f>IF(AP71="",FALSE,AND(AP71&lt;&gt;IF(AND($B$3="Stage 3",OR($B$15="Year 8 Boys",$B$15="Year 9 Boys",$B$15="Year 10-11 Boys"),$B$8="One Keeper"),$E$4,""),AP71&lt;&gt;$B71,AP71&lt;&gt;$C70,IFERROR(INDEX($E$18:$E$30,MATCH(AP71,$B$18:$B$30,0)),"No")="Yes",COUNTIF($C$32:$C70,AP71)&lt;$B$6,COUNTIF($C$32:$C70,AP71)&lt;IF($B$3="Stage 1",MIN($B$6,MAX(1,INT($B$5/$B$11))),IF(AND($B$3="Stage 3",$B$5=20,$B$11&gt;11),1,IF(AND($B$3="Stage 3",OR($B$15="Year 10-11-12 Girls"),$B$5&gt;20),MAX(2,Setup!$B$14),Setup!$B$14)))))</f>
        <v>0</v>
      </c>
      <c r="BR71" s="20" t="b">
        <f>IF(AQ71="",FALSE,AND(AQ71&lt;&gt;IF(AND($B$3="Stage 3",OR($B$15="Year 8 Boys",$B$15="Year 9 Boys",$B$15="Year 10-11 Boys"),$B$8="One Keeper"),$E$4,""),AQ71&lt;&gt;$B71,AQ71&lt;&gt;$C70,IFERROR(INDEX($E$18:$E$30,MATCH(AQ71,$B$18:$B$30,0)),"No")="Yes",COUNTIF($C$32:$C70,AQ71)&lt;$B$6,COUNTIF($C$32:$C70,AQ71)&lt;IF($B$3="Stage 1",MIN($B$6,MAX(1,INT($B$5/$B$11))),IF(AND($B$3="Stage 3",$B$5=20,$B$11&gt;11),1,IF(AND($B$3="Stage 3",OR($B$15="Year 10-11-12 Girls"),$B$5&gt;20),MAX(2,Setup!$B$14),Setup!$B$14)))))</f>
        <v>0</v>
      </c>
      <c r="BS71" s="20" t="b">
        <f>IF(AR71="",FALSE,AND(AR71&lt;&gt;IF(AND($B$3="Stage 3",OR($B$15="Year 8 Boys",$B$15="Year 9 Boys",$B$15="Year 10-11 Boys"),$B$8="One Keeper"),$E$4,""),AR71&lt;&gt;$B71,AR71&lt;&gt;$C70,IFERROR(INDEX($E$18:$E$30,MATCH(AR71,$B$18:$B$30,0)),"No")="Yes",COUNTIF($C$32:$C70,AR71)&lt;$B$6,COUNTIF($C$32:$C70,AR71)&lt;IF($B$3="Stage 1",MIN($B$6,MAX(1,INT($B$5/$B$11))),IF(AND($B$3="Stage 3",$B$5=20,$B$11&gt;11),1,IF(AND($B$3="Stage 3",OR($B$15="Year 10-11-12 Girls"),$B$5&gt;20),MAX(2,Setup!$B$14),Setup!$B$14)))))</f>
        <v>0</v>
      </c>
      <c r="BT71" s="20" t="b">
        <f>IF(AS71="",FALSE,AND(AS71&lt;&gt;IF(AND($B$3="Stage 3",OR($B$15="Year 8 Boys",$B$15="Year 9 Boys",$B$15="Year 10-11 Boys"),$B$8="One Keeper"),$E$4,""),AS71&lt;&gt;$B71,AS71&lt;&gt;$C70,IFERROR(INDEX($E$18:$E$30,MATCH(AS71,$B$18:$B$30,0)),"No")="Yes",COUNTIF($C$32:$C70,AS71)&lt;$B$6,COUNTIF($C$32:$C70,AS71)&lt;IF($B$3="Stage 1",MIN($B$6,MAX(1,INT($B$5/$B$11))),IF(AND($B$3="Stage 3",$B$5=20,$B$11&gt;11),1,IF(AND($B$3="Stage 3",OR($B$15="Year 10-11-12 Girls"),$B$5&gt;20),MAX(2,Setup!$B$14),Setup!$B$14)))))</f>
        <v>0</v>
      </c>
      <c r="BU71" s="20" t="b">
        <f>IF(AT71="",FALSE,AND(AT71&lt;&gt;IF(AND($B$3="Stage 3",OR($B$15="Year 8 Boys",$B$15="Year 9 Boys",$B$15="Year 10-11 Boys"),$B$8="One Keeper"),$E$4,""),AT71&lt;&gt;$B71,AT71&lt;&gt;$C70,IFERROR(INDEX($E$18:$E$30,MATCH(AT71,$B$18:$B$30,0)),"No")="Yes",COUNTIF($C$32:$C70,AT71)&lt;$B$6,COUNTIF($C$32:$C70,AT71)&lt;IF($B$3="Stage 1",MIN($B$6,MAX(1,INT($B$5/$B$11))),IF(AND($B$3="Stage 3",$B$5=20,$B$11&gt;11),1,IF(AND($B$3="Stage 3",OR($B$15="Year 10-11-12 Girls"),$B$5&gt;20),MAX(2,Setup!$B$14),Setup!$B$14)))))</f>
        <v>0</v>
      </c>
      <c r="BV71" s="20" t="b">
        <f>IF(AU71="",FALSE,AND(AU71&lt;&gt;IF(AND($B$3="Stage 3",OR($B$15="Year 8 Boys",$B$15="Year 9 Boys",$B$15="Year 10-11 Boys"),$B$8="One Keeper"),$E$4,""),AU71&lt;&gt;$B71,AU71&lt;&gt;$C70,IFERROR(INDEX($E$18:$E$30,MATCH(AU71,$B$18:$B$30,0)),"No")="Yes",COUNTIF($C$32:$C70,AU71)&lt;$B$6,COUNTIF($C$32:$C70,AU71)&lt;IF($B$3="Stage 1",MIN($B$6,MAX(1,INT($B$5/$B$11))),IF(AND($B$3="Stage 3",$B$5=20,$B$11&gt;11),1,IF(AND($B$3="Stage 3",OR($B$15="Year 10-11-12 Girls"),$B$5&gt;20),MAX(2,Setup!$B$14),Setup!$B$14)))))</f>
        <v>0</v>
      </c>
      <c r="BW71" s="20"/>
      <c r="BX71" s="20"/>
      <c r="BY71" s="20"/>
      <c r="BZ71" s="20"/>
      <c r="CA71" s="20"/>
      <c r="CB71" s="20"/>
      <c r="CC71" s="20"/>
      <c r="CD71" s="20"/>
      <c r="CE71" s="20"/>
      <c r="CF71" s="20"/>
      <c r="CG71" s="20"/>
      <c r="CH71" s="20"/>
      <c r="CI71" s="20"/>
      <c r="CJ71" s="20"/>
      <c r="CK71" s="20"/>
    </row>
  </sheetData>
  <mergeCells count="3">
    <mergeCell ref="A1:Q1"/>
    <mergeCell ref="D3:G3"/>
    <mergeCell ref="H45:N45"/>
  </mergeCells>
  <dataValidations count="2">
    <dataValidation type="list" sqref="E4:E5 P18:P30 K18:K30" xr:uid="{00000000-0002-0000-0200-000000000000}">
      <formula1>$B$18:$B$30</formula1>
    </dataValidation>
    <dataValidation type="list" sqref="E18:H30" xr:uid="{00000000-0002-0000-0200-000002000000}">
      <formula1>"Yes,No"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xr:uid="{00000000-0002-0000-0200-000001000000}">
          <x14:formula1>
            <xm:f>Setup!$B$18:$B$31</xm:f>
          </x14:formula1>
          <xm:sqref>B18:B30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8"/>
  <sheetViews>
    <sheetView showGridLines="0" workbookViewId="0">
      <selection sqref="A1:H1"/>
    </sheetView>
  </sheetViews>
  <sheetFormatPr defaultRowHeight="13.55"/>
  <cols>
    <col min="1" max="1" width="14.5" customWidth="1"/>
    <col min="2" max="2" width="12" customWidth="1"/>
    <col min="3" max="3" width="14" customWidth="1"/>
    <col min="4" max="4" width="12" customWidth="1"/>
    <col min="5" max="5" width="18" customWidth="1"/>
    <col min="6" max="6" width="12" customWidth="1"/>
    <col min="7" max="7" width="16" customWidth="1"/>
    <col min="8" max="8" width="2" customWidth="1"/>
  </cols>
  <sheetData>
    <row r="1" spans="1:8" ht="19.25" customHeight="1">
      <c r="A1" s="65" t="s">
        <v>160</v>
      </c>
      <c r="B1" s="65"/>
      <c r="C1" s="65"/>
      <c r="D1" s="65"/>
      <c r="E1" s="65"/>
      <c r="F1" s="65"/>
      <c r="G1" s="65"/>
      <c r="H1" s="65"/>
    </row>
    <row r="2" spans="1:8" ht="15" customHeight="1">
      <c r="A2" s="38" t="s">
        <v>44</v>
      </c>
      <c r="B2" s="63">
        <f>'Season Fixture'!$B$2</f>
        <v>0</v>
      </c>
      <c r="C2" s="63"/>
      <c r="D2" s="63"/>
      <c r="E2" s="63"/>
      <c r="F2" s="63"/>
      <c r="G2" s="63"/>
      <c r="H2" s="63"/>
    </row>
    <row r="3" spans="1:8" ht="15" customHeight="1">
      <c r="A3" s="38" t="s">
        <v>161</v>
      </c>
      <c r="B3" s="39">
        <f>'Weekly Planner'!$B$4</f>
        <v>1</v>
      </c>
      <c r="C3" s="38" t="s">
        <v>46</v>
      </c>
      <c r="D3" s="40" t="str">
        <f>IFERROR(IF(INDEX('Season Fixture'!$B$4:$B$17,MATCH($B$3,'Season Fixture'!$A$4:$A$17,0))="","",INDEX('Season Fixture'!$B$4:$B$17,MATCH($B$3,'Season Fixture'!$A$4:$A$17,0))),"")</f>
        <v/>
      </c>
      <c r="E3" s="38" t="s">
        <v>8</v>
      </c>
      <c r="F3" s="63">
        <f>'Weekly Planner'!$B$5</f>
        <v>20</v>
      </c>
      <c r="G3" s="63"/>
      <c r="H3" s="39"/>
    </row>
    <row r="4" spans="1:8" ht="15" customHeight="1">
      <c r="A4" s="38" t="s">
        <v>47</v>
      </c>
      <c r="B4" s="63" t="str">
        <f>IFERROR(IF(INDEX('Season Fixture'!$C$4:$C$17,MATCH($B$3,'Season Fixture'!$A$4:$A$17,0))="","",INDEX('Season Fixture'!$C$4:$C$17,MATCH($B$3,'Season Fixture'!$A$4:$A$17,0))),"")</f>
        <v/>
      </c>
      <c r="C4" s="63"/>
      <c r="D4" s="63"/>
      <c r="E4" s="38" t="s">
        <v>48</v>
      </c>
      <c r="F4" s="63" t="str">
        <f>IFERROR(IF(INDEX('Season Fixture'!$D$4:$D$17,MATCH($B$3,'Season Fixture'!$A$4:$A$17,0))="","",INDEX('Season Fixture'!$D$4:$D$17,MATCH($B$3,'Season Fixture'!$A$4:$A$17,0))),"")</f>
        <v/>
      </c>
      <c r="G4" s="63"/>
      <c r="H4" s="63"/>
    </row>
    <row r="5" spans="1:8" ht="15" customHeight="1">
      <c r="A5" s="38" t="s">
        <v>55</v>
      </c>
      <c r="B5" s="39" t="str">
        <f>'Weekly Planner'!$E$4</f>
        <v>Player 1</v>
      </c>
      <c r="C5" s="38" t="s">
        <v>57</v>
      </c>
      <c r="D5" s="39" t="str">
        <f>'Weekly Planner'!$E$5</f>
        <v>Player 2</v>
      </c>
      <c r="E5" s="38" t="s">
        <v>162</v>
      </c>
      <c r="F5" s="63" t="str">
        <f>'Weekly Planner'!$C$32</f>
        <v>Player 3</v>
      </c>
      <c r="G5" s="63"/>
      <c r="H5" s="63"/>
    </row>
    <row r="6" spans="1:8" ht="15" customHeight="1">
      <c r="A6" s="38" t="s">
        <v>49</v>
      </c>
      <c r="B6" s="63" t="str">
        <f>IFERROR(IF(INDEX('Season Fixture'!$E$4:$E$17,MATCH($B$3,'Season Fixture'!$A$4:$A$17,0))="","",INDEX('Season Fixture'!$E$4:$E$17,MATCH($B$3,'Season Fixture'!$A$4:$A$17,0))),"")</f>
        <v/>
      </c>
      <c r="C6" s="64"/>
      <c r="D6" s="64"/>
      <c r="E6" s="64"/>
      <c r="F6" s="64"/>
      <c r="G6" s="64"/>
      <c r="H6" s="64"/>
    </row>
    <row r="8" spans="1:8" ht="15" customHeight="1">
      <c r="A8" s="36" t="s">
        <v>69</v>
      </c>
      <c r="B8" s="16" t="s">
        <v>70</v>
      </c>
      <c r="D8" s="36" t="s">
        <v>88</v>
      </c>
      <c r="E8" s="15" t="s">
        <v>89</v>
      </c>
      <c r="F8" s="15" t="s">
        <v>90</v>
      </c>
      <c r="G8" s="37" t="s">
        <v>91</v>
      </c>
    </row>
    <row r="9" spans="1:8" ht="15" customHeight="1">
      <c r="A9" s="19">
        <v>1</v>
      </c>
      <c r="B9" s="18" t="str">
        <f>IF($A9&gt;'Weekly Planner'!$B$11,"",'Weekly Planner'!$K18)</f>
        <v>Player 1</v>
      </c>
      <c r="D9" s="19">
        <f>IF(1&gt;'Weekly Planner'!$B$5,"",1)</f>
        <v>1</v>
      </c>
      <c r="E9" s="18" t="str">
        <f>IF($D9="","",'Weekly Planner'!$B32)</f>
        <v>Player 1</v>
      </c>
      <c r="F9" s="18" t="str">
        <f>IF($D9="","",'Weekly Planner'!$C32)</f>
        <v>Player 3</v>
      </c>
      <c r="G9" s="19">
        <f>IF($D9="","",'Weekly Planner'!$E32)</f>
        <v>1</v>
      </c>
    </row>
    <row r="10" spans="1:8" ht="15" customHeight="1">
      <c r="A10" s="19">
        <v>2</v>
      </c>
      <c r="B10" s="18" t="str">
        <f>IF($A10&gt;'Weekly Planner'!$B$11,"",'Weekly Planner'!$K19)</f>
        <v>Player 6</v>
      </c>
      <c r="D10" s="19">
        <f>IF(2&gt;'Weekly Planner'!$B$5,"",2)</f>
        <v>2</v>
      </c>
      <c r="E10" s="18" t="str">
        <f>IF($D10="","",'Weekly Planner'!$B33)</f>
        <v>Player 1</v>
      </c>
      <c r="F10" s="18" t="str">
        <f>IF($D10="","",'Weekly Planner'!$C33)</f>
        <v>Player 2</v>
      </c>
      <c r="G10" s="19">
        <f>IF($D10="","",'Weekly Planner'!$E33)</f>
        <v>1</v>
      </c>
    </row>
    <row r="11" spans="1:8" ht="15" customHeight="1">
      <c r="A11" s="19">
        <v>3</v>
      </c>
      <c r="B11" s="18" t="str">
        <f>IF($A11&gt;'Weekly Planner'!$B$11,"",'Weekly Planner'!$K20)</f>
        <v>Player 4</v>
      </c>
      <c r="D11" s="19">
        <f>IF(3&gt;'Weekly Planner'!$B$5,"",3)</f>
        <v>3</v>
      </c>
      <c r="E11" s="18" t="str">
        <f>IF($D11="","",'Weekly Planner'!$B34)</f>
        <v>Player 1</v>
      </c>
      <c r="F11" s="18" t="str">
        <f>IF($D11="","",'Weekly Planner'!$C34)</f>
        <v>Player 5</v>
      </c>
      <c r="G11" s="19">
        <f>IF($D11="","",'Weekly Planner'!$E34)</f>
        <v>1</v>
      </c>
    </row>
    <row r="12" spans="1:8" ht="15" customHeight="1">
      <c r="A12" s="19">
        <v>4</v>
      </c>
      <c r="B12" s="18" t="str">
        <f>IF($A12&gt;'Weekly Planner'!$B$11,"",'Weekly Planner'!$K21)</f>
        <v>Player 7</v>
      </c>
      <c r="D12" s="19">
        <f>IF(4&gt;'Weekly Planner'!$B$5,"",4)</f>
        <v>4</v>
      </c>
      <c r="E12" s="18" t="str">
        <f>IF($D12="","",'Weekly Planner'!$B35)</f>
        <v>Player 1</v>
      </c>
      <c r="F12" s="18" t="str">
        <f>IF($D12="","",'Weekly Planner'!$C35)</f>
        <v>Player 2</v>
      </c>
      <c r="G12" s="19">
        <f>IF($D12="","",'Weekly Planner'!$E35)</f>
        <v>2</v>
      </c>
    </row>
    <row r="13" spans="1:8" ht="15" customHeight="1">
      <c r="A13" s="19">
        <v>5</v>
      </c>
      <c r="B13" s="18" t="str">
        <f>IF($A13&gt;'Weekly Planner'!$B$11,"",'Weekly Planner'!$K22)</f>
        <v>Player 5</v>
      </c>
      <c r="D13" s="19">
        <f>IF(5&gt;'Weekly Planner'!$B$5,"",5)</f>
        <v>5</v>
      </c>
      <c r="E13" s="18" t="str">
        <f>IF($D13="","",'Weekly Planner'!$B36)</f>
        <v>Player 1</v>
      </c>
      <c r="F13" s="18" t="str">
        <f>IF($D13="","",'Weekly Planner'!$C36)</f>
        <v>Player 7</v>
      </c>
      <c r="G13" s="19">
        <f>IF($D13="","",'Weekly Planner'!$E36)</f>
        <v>1</v>
      </c>
    </row>
    <row r="14" spans="1:8" ht="15" customHeight="1">
      <c r="A14" s="19">
        <v>6</v>
      </c>
      <c r="B14" s="18" t="str">
        <f>IF($A14&gt;'Weekly Planner'!$B$11,"",'Weekly Planner'!$K23)</f>
        <v>Player 2</v>
      </c>
      <c r="D14" s="19">
        <f>IF(6&gt;'Weekly Planner'!$B$5,"",6)</f>
        <v>6</v>
      </c>
      <c r="E14" s="18" t="str">
        <f>IF($D14="","",'Weekly Planner'!$B37)</f>
        <v>Player 1</v>
      </c>
      <c r="F14" s="18" t="str">
        <f>IF($D14="","",'Weekly Planner'!$C37)</f>
        <v>Player 3</v>
      </c>
      <c r="G14" s="19">
        <f>IF($D14="","",'Weekly Planner'!$E37)</f>
        <v>2</v>
      </c>
    </row>
    <row r="15" spans="1:8" ht="15" customHeight="1">
      <c r="A15" s="19">
        <v>7</v>
      </c>
      <c r="B15" s="18" t="str">
        <f>IF($A15&gt;'Weekly Planner'!$B$11,"",'Weekly Planner'!$K24)</f>
        <v>Player 3</v>
      </c>
      <c r="D15" s="19">
        <f>IF(7&gt;'Weekly Planner'!$B$5,"",7)</f>
        <v>7</v>
      </c>
      <c r="E15" s="18" t="str">
        <f>IF($D15="","",'Weekly Planner'!$B38)</f>
        <v>Player 1</v>
      </c>
      <c r="F15" s="18" t="str">
        <f>IF($D15="","",'Weekly Planner'!$C38)</f>
        <v>Player 4</v>
      </c>
      <c r="G15" s="19">
        <f>IF($D15="","",'Weekly Planner'!$E38)</f>
        <v>1</v>
      </c>
    </row>
    <row r="16" spans="1:8" ht="15" customHeight="1">
      <c r="A16" s="19">
        <v>8</v>
      </c>
      <c r="B16" s="18" t="str">
        <f>IF($A16&gt;'Weekly Planner'!$B$11,"",'Weekly Planner'!$K25)</f>
        <v/>
      </c>
      <c r="D16" s="19">
        <f>IF(8&gt;'Weekly Planner'!$B$5,"",8)</f>
        <v>8</v>
      </c>
      <c r="E16" s="18" t="str">
        <f>IF($D16="","",'Weekly Planner'!$B39)</f>
        <v>Player 1</v>
      </c>
      <c r="F16" s="18" t="str">
        <f>IF($D16="","",'Weekly Planner'!$C39)</f>
        <v>Player 5</v>
      </c>
      <c r="G16" s="19">
        <f>IF($D16="","",'Weekly Planner'!$E39)</f>
        <v>2</v>
      </c>
    </row>
    <row r="17" spans="1:7" ht="15" customHeight="1">
      <c r="A17" s="19">
        <v>9</v>
      </c>
      <c r="B17" s="18" t="str">
        <f>IF($A17&gt;'Weekly Planner'!$B$11,"",'Weekly Planner'!$K26)</f>
        <v/>
      </c>
      <c r="D17" s="19">
        <f>IF(9&gt;'Weekly Planner'!$B$5,"",9)</f>
        <v>9</v>
      </c>
      <c r="E17" s="18" t="str">
        <f>IF($D17="","",'Weekly Planner'!$B40)</f>
        <v>Player 1</v>
      </c>
      <c r="F17" s="18" t="str">
        <f>IF($D17="","",'Weekly Planner'!$C40)</f>
        <v>Player 4</v>
      </c>
      <c r="G17" s="19">
        <f>IF($D17="","",'Weekly Planner'!$E40)</f>
        <v>2</v>
      </c>
    </row>
    <row r="18" spans="1:7" ht="15" customHeight="1">
      <c r="A18" s="19">
        <v>10</v>
      </c>
      <c r="B18" s="18" t="str">
        <f>IF($A18&gt;'Weekly Planner'!$B$11,"",'Weekly Planner'!$K27)</f>
        <v/>
      </c>
      <c r="D18" s="19">
        <f>IF(10&gt;'Weekly Planner'!$B$5,"",10)</f>
        <v>10</v>
      </c>
      <c r="E18" s="18" t="str">
        <f>IF($D18="","",'Weekly Planner'!$B41)</f>
        <v>Player 1</v>
      </c>
      <c r="F18" s="18" t="str">
        <f>IF($D18="","",'Weekly Planner'!$C41)</f>
        <v>Player 6</v>
      </c>
      <c r="G18" s="19">
        <f>IF($D18="","",'Weekly Planner'!$E41)</f>
        <v>1</v>
      </c>
    </row>
    <row r="19" spans="1:7" ht="15" customHeight="1">
      <c r="A19" s="19">
        <v>11</v>
      </c>
      <c r="B19" s="18" t="str">
        <f>IF($A19&gt;'Weekly Planner'!$B$11,"",'Weekly Planner'!$K28)</f>
        <v/>
      </c>
      <c r="D19" s="19">
        <f>IF(11&gt;'Weekly Planner'!$B$5,"",11)</f>
        <v>11</v>
      </c>
      <c r="E19" s="18" t="str">
        <f>IF($D19="","",'Weekly Planner'!$B42)</f>
        <v>Player 2</v>
      </c>
      <c r="F19" s="18" t="str">
        <f>IF($D19="","",'Weekly Planner'!$C42)</f>
        <v>Player 1</v>
      </c>
      <c r="G19" s="19">
        <f>IF($D19="","",'Weekly Planner'!$E42)</f>
        <v>1</v>
      </c>
    </row>
    <row r="20" spans="1:7" ht="15" customHeight="1">
      <c r="A20" s="19">
        <v>12</v>
      </c>
      <c r="B20" s="18" t="str">
        <f>IF($A20&gt;'Weekly Planner'!$B$11,"",'Weekly Planner'!$K29)</f>
        <v/>
      </c>
      <c r="D20" s="19">
        <f>IF(12&gt;'Weekly Planner'!$B$5,"",12)</f>
        <v>12</v>
      </c>
      <c r="E20" s="18" t="str">
        <f>IF($D20="","",'Weekly Planner'!$B43)</f>
        <v>Player 2</v>
      </c>
      <c r="F20" s="18" t="str">
        <f>IF($D20="","",'Weekly Planner'!$C43)</f>
        <v>Player 7</v>
      </c>
      <c r="G20" s="19">
        <f>IF($D20="","",'Weekly Planner'!$E43)</f>
        <v>2</v>
      </c>
    </row>
    <row r="21" spans="1:7" ht="15" customHeight="1">
      <c r="A21" s="19">
        <v>13</v>
      </c>
      <c r="B21" s="18" t="str">
        <f>IF($A21&gt;'Weekly Planner'!$B$11,"",'Weekly Planner'!$K30)</f>
        <v/>
      </c>
      <c r="D21" s="19">
        <f>IF(13&gt;'Weekly Planner'!$B$5,"",13)</f>
        <v>13</v>
      </c>
      <c r="E21" s="18" t="str">
        <f>IF($D21="","",'Weekly Planner'!$B44)</f>
        <v>Player 2</v>
      </c>
      <c r="F21" s="18" t="str">
        <f>IF($D21="","",'Weekly Planner'!$C44)</f>
        <v>Player 1</v>
      </c>
      <c r="G21" s="19">
        <f>IF($D21="","",'Weekly Planner'!$E44)</f>
        <v>2</v>
      </c>
    </row>
    <row r="22" spans="1:7" ht="15" customHeight="1">
      <c r="D22" s="19">
        <f>IF(14&gt;'Weekly Planner'!$B$5,"",14)</f>
        <v>14</v>
      </c>
      <c r="E22" s="18" t="str">
        <f>IF($D22="","",'Weekly Planner'!$B45)</f>
        <v>Player 2</v>
      </c>
      <c r="F22" s="18" t="str">
        <f>IF($D22="","",'Weekly Planner'!$C45)</f>
        <v>Player 6</v>
      </c>
      <c r="G22" s="19">
        <f>IF($D22="","",'Weekly Planner'!$E45)</f>
        <v>2</v>
      </c>
    </row>
    <row r="23" spans="1:7" ht="15" customHeight="1">
      <c r="D23" s="19">
        <f>IF(15&gt;'Weekly Planner'!$B$5,"",15)</f>
        <v>15</v>
      </c>
      <c r="E23" s="18" t="str">
        <f>IF($D23="","",'Weekly Planner'!$B46)</f>
        <v>Player 2</v>
      </c>
      <c r="F23" s="18" t="str">
        <f>IF($D23="","",'Weekly Planner'!$C46)</f>
        <v>Player 3</v>
      </c>
      <c r="G23" s="19">
        <f>IF($D23="","",'Weekly Planner'!$E46)</f>
        <v>3</v>
      </c>
    </row>
    <row r="24" spans="1:7" ht="15" customHeight="1">
      <c r="D24" s="19">
        <f>IF(16&gt;'Weekly Planner'!$B$5,"",16)</f>
        <v>16</v>
      </c>
      <c r="E24" s="18" t="str">
        <f>IF($D24="","",'Weekly Planner'!$B47)</f>
        <v>Player 2</v>
      </c>
      <c r="F24" s="18" t="str">
        <f>IF($D24="","",'Weekly Planner'!$C47)</f>
        <v>Player 4</v>
      </c>
      <c r="G24" s="19">
        <f>IF($D24="","",'Weekly Planner'!$E47)</f>
        <v>3</v>
      </c>
    </row>
    <row r="25" spans="1:7" ht="15" customHeight="1">
      <c r="D25" s="19">
        <f>IF(17&gt;'Weekly Planner'!$B$5,"",17)</f>
        <v>17</v>
      </c>
      <c r="E25" s="18" t="str">
        <f>IF($D25="","",'Weekly Planner'!$B48)</f>
        <v>Player 2</v>
      </c>
      <c r="F25" s="18" t="str">
        <f>IF($D25="","",'Weekly Planner'!$C48)</f>
        <v>Player 5</v>
      </c>
      <c r="G25" s="19">
        <f>IF($D25="","",'Weekly Planner'!$E48)</f>
        <v>3</v>
      </c>
    </row>
    <row r="26" spans="1:7" ht="15" customHeight="1">
      <c r="D26" s="19">
        <f>IF(18&gt;'Weekly Planner'!$B$5,"",18)</f>
        <v>18</v>
      </c>
      <c r="E26" s="18" t="str">
        <f>IF($D26="","",'Weekly Planner'!$B49)</f>
        <v>Player 2</v>
      </c>
      <c r="F26" s="18" t="str">
        <f>IF($D26="","",'Weekly Planner'!$C49)</f>
        <v>Player 6</v>
      </c>
      <c r="G26" s="19">
        <f>IF($D26="","",'Weekly Planner'!$E49)</f>
        <v>3</v>
      </c>
    </row>
    <row r="27" spans="1:7" ht="15" customHeight="1">
      <c r="D27" s="19">
        <f>IF(19&gt;'Weekly Planner'!$B$5,"",19)</f>
        <v>19</v>
      </c>
      <c r="E27" s="18" t="str">
        <f>IF($D27="","",'Weekly Planner'!$B50)</f>
        <v>Player 2</v>
      </c>
      <c r="F27" s="18" t="str">
        <f>IF($D27="","",'Weekly Planner'!$C50)</f>
        <v>Player 7</v>
      </c>
      <c r="G27" s="19">
        <f>IF($D27="","",'Weekly Planner'!$E50)</f>
        <v>3</v>
      </c>
    </row>
    <row r="28" spans="1:7" ht="15" customHeight="1">
      <c r="D28" s="19">
        <f>IF(20&gt;'Weekly Planner'!$B$5,"",20)</f>
        <v>20</v>
      </c>
      <c r="E28" s="18" t="str">
        <f>IF($D28="","",'Weekly Planner'!$B51)</f>
        <v>Player 2</v>
      </c>
      <c r="F28" s="18" t="str">
        <f>IF($D28="","",'Weekly Planner'!$C51)</f>
        <v>Player 1</v>
      </c>
      <c r="G28" s="19">
        <f>IF($D28="","",'Weekly Planner'!$E51)</f>
        <v>3</v>
      </c>
    </row>
    <row r="29" spans="1:7" ht="15" customHeight="1">
      <c r="D29" s="19" t="str">
        <f>IF(21&gt;'Weekly Planner'!$B$5,"",21)</f>
        <v/>
      </c>
      <c r="E29" s="18" t="str">
        <f>IF($D29="","",'Weekly Planner'!$B52)</f>
        <v/>
      </c>
      <c r="F29" s="18" t="str">
        <f>IF($D29="","",'Weekly Planner'!$C52)</f>
        <v/>
      </c>
      <c r="G29" s="19" t="str">
        <f>IF($D29="","",'Weekly Planner'!$E52)</f>
        <v/>
      </c>
    </row>
    <row r="30" spans="1:7" ht="15" customHeight="1">
      <c r="D30" s="19" t="str">
        <f>IF(22&gt;'Weekly Planner'!$B$5,"",22)</f>
        <v/>
      </c>
      <c r="E30" s="18" t="str">
        <f>IF($D30="","",'Weekly Planner'!$B53)</f>
        <v/>
      </c>
      <c r="F30" s="18" t="str">
        <f>IF($D30="","",'Weekly Planner'!$C53)</f>
        <v/>
      </c>
      <c r="G30" s="19" t="str">
        <f>IF($D30="","",'Weekly Planner'!$E53)</f>
        <v/>
      </c>
    </row>
    <row r="31" spans="1:7" ht="15" customHeight="1">
      <c r="D31" s="19" t="str">
        <f>IF(23&gt;'Weekly Planner'!$B$5,"",23)</f>
        <v/>
      </c>
      <c r="E31" s="18" t="str">
        <f>IF($D31="","",'Weekly Planner'!$B54)</f>
        <v/>
      </c>
      <c r="F31" s="18" t="str">
        <f>IF($D31="","",'Weekly Planner'!$C54)</f>
        <v/>
      </c>
      <c r="G31" s="19" t="str">
        <f>IF($D31="","",'Weekly Planner'!$E54)</f>
        <v/>
      </c>
    </row>
    <row r="32" spans="1:7" ht="15" customHeight="1">
      <c r="D32" s="19" t="str">
        <f>IF(24&gt;'Weekly Planner'!$B$5,"",24)</f>
        <v/>
      </c>
      <c r="E32" s="18" t="str">
        <f>IF($D32="","",'Weekly Planner'!$B55)</f>
        <v/>
      </c>
      <c r="F32" s="18" t="str">
        <f>IF($D32="","",'Weekly Planner'!$C55)</f>
        <v/>
      </c>
      <c r="G32" s="19" t="str">
        <f>IF($D32="","",'Weekly Planner'!$E55)</f>
        <v/>
      </c>
    </row>
    <row r="33" spans="4:7" ht="15" customHeight="1">
      <c r="D33" s="19" t="str">
        <f>IF(25&gt;'Weekly Planner'!$B$5,"",25)</f>
        <v/>
      </c>
      <c r="E33" s="18" t="str">
        <f>IF($D33="","",'Weekly Planner'!$B56)</f>
        <v/>
      </c>
      <c r="F33" s="18" t="str">
        <f>IF($D33="","",'Weekly Planner'!$C56)</f>
        <v/>
      </c>
      <c r="G33" s="19" t="str">
        <f>IF($D33="","",'Weekly Planner'!$E56)</f>
        <v/>
      </c>
    </row>
    <row r="34" spans="4:7" ht="15" customHeight="1">
      <c r="D34" s="19" t="str">
        <f>IF(26&gt;'Weekly Planner'!$B$5,"",26)</f>
        <v/>
      </c>
      <c r="E34" s="18" t="str">
        <f>IF($D34="","",'Weekly Planner'!$B57)</f>
        <v/>
      </c>
      <c r="F34" s="18" t="str">
        <f>IF($D34="","",'Weekly Planner'!$C57)</f>
        <v/>
      </c>
      <c r="G34" s="19" t="str">
        <f>IF($D34="","",'Weekly Planner'!$E57)</f>
        <v/>
      </c>
    </row>
    <row r="35" spans="4:7" ht="15" customHeight="1">
      <c r="D35" s="19" t="str">
        <f>IF(27&gt;'Weekly Planner'!$B$5,"",27)</f>
        <v/>
      </c>
      <c r="E35" s="18" t="str">
        <f>IF($D35="","",'Weekly Planner'!$B58)</f>
        <v/>
      </c>
      <c r="F35" s="18" t="str">
        <f>IF($D35="","",'Weekly Planner'!$C58)</f>
        <v/>
      </c>
      <c r="G35" s="19" t="str">
        <f>IF($D35="","",'Weekly Planner'!$E58)</f>
        <v/>
      </c>
    </row>
    <row r="36" spans="4:7" ht="15" customHeight="1">
      <c r="D36" s="19" t="str">
        <f>IF(28&gt;'Weekly Planner'!$B$5,"",28)</f>
        <v/>
      </c>
      <c r="E36" s="18" t="str">
        <f>IF($D36="","",'Weekly Planner'!$B59)</f>
        <v/>
      </c>
      <c r="F36" s="18" t="str">
        <f>IF($D36="","",'Weekly Planner'!$C59)</f>
        <v/>
      </c>
      <c r="G36" s="19" t="str">
        <f>IF($D36="","",'Weekly Planner'!$E59)</f>
        <v/>
      </c>
    </row>
    <row r="37" spans="4:7" ht="15" customHeight="1">
      <c r="D37" s="19" t="str">
        <f>IF(29&gt;'Weekly Planner'!$B$5,"",29)</f>
        <v/>
      </c>
      <c r="E37" s="18" t="str">
        <f>IF($D37="","",'Weekly Planner'!$B60)</f>
        <v/>
      </c>
      <c r="F37" s="18" t="str">
        <f>IF($D37="","",'Weekly Planner'!$C60)</f>
        <v/>
      </c>
      <c r="G37" s="19" t="str">
        <f>IF($D37="","",'Weekly Planner'!$E60)</f>
        <v/>
      </c>
    </row>
    <row r="38" spans="4:7" ht="15" customHeight="1">
      <c r="D38" s="19" t="str">
        <f>IF(30&gt;'Weekly Planner'!$B$5,"",30)</f>
        <v/>
      </c>
      <c r="E38" s="18" t="str">
        <f>IF($D38="","",'Weekly Planner'!$B61)</f>
        <v/>
      </c>
      <c r="F38" s="18" t="str">
        <f>IF($D38="","",'Weekly Planner'!$C61)</f>
        <v/>
      </c>
      <c r="G38" s="19" t="str">
        <f>IF($D38="","",'Weekly Planner'!$E61)</f>
        <v/>
      </c>
    </row>
    <row r="39" spans="4:7" ht="15" customHeight="1">
      <c r="D39" s="19" t="str">
        <f>IF(31&gt;'Weekly Planner'!$B$5,"",31)</f>
        <v/>
      </c>
      <c r="E39" s="18" t="str">
        <f>IF($D39="","",'Weekly Planner'!$B62)</f>
        <v/>
      </c>
      <c r="F39" s="18" t="str">
        <f>IF($D39="","",'Weekly Planner'!$C62)</f>
        <v/>
      </c>
      <c r="G39" s="19" t="str">
        <f>IF($D39="","",'Weekly Planner'!$E62)</f>
        <v/>
      </c>
    </row>
    <row r="40" spans="4:7" ht="15" customHeight="1">
      <c r="D40" s="19" t="str">
        <f>IF(32&gt;'Weekly Planner'!$B$5,"",32)</f>
        <v/>
      </c>
      <c r="E40" s="18" t="str">
        <f>IF($D40="","",'Weekly Planner'!$B63)</f>
        <v/>
      </c>
      <c r="F40" s="18" t="str">
        <f>IF($D40="","",'Weekly Planner'!$C63)</f>
        <v/>
      </c>
      <c r="G40" s="19" t="str">
        <f>IF($D40="","",'Weekly Planner'!$E63)</f>
        <v/>
      </c>
    </row>
    <row r="41" spans="4:7" ht="15" customHeight="1">
      <c r="D41" s="19" t="str">
        <f>IF(33&gt;'Weekly Planner'!$B$5,"",33)</f>
        <v/>
      </c>
      <c r="E41" s="18" t="str">
        <f>IF($D41="","",'Weekly Planner'!$B64)</f>
        <v/>
      </c>
      <c r="F41" s="18" t="str">
        <f>IF($D41="","",'Weekly Planner'!$C64)</f>
        <v/>
      </c>
      <c r="G41" s="19" t="str">
        <f>IF($D41="","",'Weekly Planner'!$E64)</f>
        <v/>
      </c>
    </row>
    <row r="42" spans="4:7" ht="15" customHeight="1">
      <c r="D42" s="19" t="str">
        <f>IF(34&gt;'Weekly Planner'!$B$5,"",34)</f>
        <v/>
      </c>
      <c r="E42" s="18" t="str">
        <f>IF($D42="","",'Weekly Planner'!$B65)</f>
        <v/>
      </c>
      <c r="F42" s="18" t="str">
        <f>IF($D42="","",'Weekly Planner'!$C65)</f>
        <v/>
      </c>
      <c r="G42" s="19" t="str">
        <f>IF($D42="","",'Weekly Planner'!$E65)</f>
        <v/>
      </c>
    </row>
    <row r="43" spans="4:7" ht="15" customHeight="1">
      <c r="D43" s="19" t="str">
        <f>IF(35&gt;'Weekly Planner'!$B$5,"",35)</f>
        <v/>
      </c>
      <c r="E43" s="18" t="str">
        <f>IF($D43="","",'Weekly Planner'!$B66)</f>
        <v/>
      </c>
      <c r="F43" s="18" t="str">
        <f>IF($D43="","",'Weekly Planner'!$C66)</f>
        <v/>
      </c>
      <c r="G43" s="19" t="str">
        <f>IF($D43="","",'Weekly Planner'!$E66)</f>
        <v/>
      </c>
    </row>
    <row r="44" spans="4:7" ht="15" customHeight="1">
      <c r="D44" s="19" t="str">
        <f>IF(36&gt;'Weekly Planner'!$B$5,"",36)</f>
        <v/>
      </c>
      <c r="E44" s="18" t="str">
        <f>IF($D44="","",'Weekly Planner'!$B67)</f>
        <v/>
      </c>
      <c r="F44" s="18" t="str">
        <f>IF($D44="","",'Weekly Planner'!$C67)</f>
        <v/>
      </c>
      <c r="G44" s="19" t="str">
        <f>IF($D44="","",'Weekly Planner'!$E67)</f>
        <v/>
      </c>
    </row>
    <row r="45" spans="4:7" ht="15" customHeight="1">
      <c r="D45" s="19" t="str">
        <f>IF(37&gt;'Weekly Planner'!$B$5,"",37)</f>
        <v/>
      </c>
      <c r="E45" s="18" t="str">
        <f>IF($D45="","",'Weekly Planner'!$B68)</f>
        <v/>
      </c>
      <c r="F45" s="18" t="str">
        <f>IF($D45="","",'Weekly Planner'!$C68)</f>
        <v/>
      </c>
      <c r="G45" s="19" t="str">
        <f>IF($D45="","",'Weekly Planner'!$E68)</f>
        <v/>
      </c>
    </row>
    <row r="46" spans="4:7" ht="15" customHeight="1">
      <c r="D46" s="19" t="str">
        <f>IF(38&gt;'Weekly Planner'!$B$5,"",38)</f>
        <v/>
      </c>
      <c r="E46" s="18" t="str">
        <f>IF($D46="","",'Weekly Planner'!$B69)</f>
        <v/>
      </c>
      <c r="F46" s="18" t="str">
        <f>IF($D46="","",'Weekly Planner'!$C69)</f>
        <v/>
      </c>
      <c r="G46" s="19" t="str">
        <f>IF($D46="","",'Weekly Planner'!$E69)</f>
        <v/>
      </c>
    </row>
    <row r="47" spans="4:7" ht="15" customHeight="1">
      <c r="D47" s="19" t="str">
        <f>IF(39&gt;'Weekly Planner'!$B$5,"",39)</f>
        <v/>
      </c>
      <c r="E47" s="18" t="str">
        <f>IF($D47="","",'Weekly Planner'!$B70)</f>
        <v/>
      </c>
      <c r="F47" s="18" t="str">
        <f>IF($D47="","",'Weekly Planner'!$C70)</f>
        <v/>
      </c>
      <c r="G47" s="19" t="str">
        <f>IF($D47="","",'Weekly Planner'!$E70)</f>
        <v/>
      </c>
    </row>
    <row r="48" spans="4:7" ht="15" customHeight="1">
      <c r="D48" s="19" t="str">
        <f>IF(40&gt;'Weekly Planner'!$B$5,"",40)</f>
        <v/>
      </c>
      <c r="E48" s="18" t="str">
        <f>IF($D48="","",'Weekly Planner'!$B71)</f>
        <v/>
      </c>
      <c r="F48" s="18" t="str">
        <f>IF($D48="","",'Weekly Planner'!$C71)</f>
        <v/>
      </c>
      <c r="G48" s="19" t="str">
        <f>IF($D48="","",'Weekly Planner'!$E71)</f>
        <v/>
      </c>
    </row>
  </sheetData>
  <mergeCells count="7">
    <mergeCell ref="F5:H5"/>
    <mergeCell ref="B6:H6"/>
    <mergeCell ref="A1:H1"/>
    <mergeCell ref="B2:H2"/>
    <mergeCell ref="F3:G3"/>
    <mergeCell ref="B4:D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9"/>
  <sheetViews>
    <sheetView showGridLines="0" workbookViewId="0">
      <selection sqref="A1:X1"/>
    </sheetView>
  </sheetViews>
  <sheetFormatPr defaultRowHeight="13.55"/>
  <cols>
    <col min="1" max="1" width="8" customWidth="1"/>
    <col min="2" max="2" width="12" customWidth="1"/>
    <col min="3" max="3" width="20" customWidth="1"/>
    <col min="4" max="5" width="15" customWidth="1"/>
    <col min="6" max="6" width="14" customWidth="1"/>
    <col min="7" max="24" width="13" customWidth="1"/>
  </cols>
  <sheetData>
    <row r="1" spans="1:24" ht="19.25" customHeight="1">
      <c r="A1" s="50" t="s">
        <v>163</v>
      </c>
      <c r="B1" s="50"/>
      <c r="C1" s="50"/>
      <c r="D1" s="50"/>
      <c r="E1" s="50"/>
      <c r="F1" s="50"/>
      <c r="G1" s="50"/>
      <c r="H1" s="50"/>
      <c r="I1" s="50"/>
      <c r="J1" s="50"/>
      <c r="K1" s="50"/>
      <c r="L1" s="50"/>
      <c r="M1" s="50"/>
      <c r="N1" s="50"/>
      <c r="O1" s="50"/>
      <c r="P1" s="50"/>
      <c r="Q1" s="50"/>
      <c r="R1" s="50"/>
      <c r="S1" s="50"/>
      <c r="T1" s="50"/>
      <c r="U1" s="50"/>
      <c r="V1" s="50"/>
      <c r="W1" s="50"/>
      <c r="X1" s="50"/>
    </row>
    <row r="3" spans="1:24" ht="15" customHeight="1">
      <c r="A3" s="51" t="s">
        <v>164</v>
      </c>
      <c r="B3" s="52"/>
      <c r="C3" s="52"/>
      <c r="D3" s="52"/>
      <c r="E3" s="52"/>
      <c r="F3" s="53"/>
      <c r="G3" s="51" t="s">
        <v>165</v>
      </c>
      <c r="H3" s="52"/>
      <c r="I3" s="52"/>
      <c r="J3" s="52"/>
      <c r="K3" s="52"/>
      <c r="L3" s="52"/>
      <c r="M3" s="52"/>
      <c r="N3" s="52"/>
      <c r="O3" s="53"/>
      <c r="P3" s="51" t="s">
        <v>166</v>
      </c>
      <c r="Q3" s="52"/>
      <c r="R3" s="52"/>
      <c r="S3" s="52"/>
      <c r="T3" s="52"/>
      <c r="U3" s="52"/>
      <c r="V3" s="52"/>
      <c r="W3" s="52"/>
      <c r="X3" s="53"/>
    </row>
    <row r="5" spans="1:24" ht="15" customHeight="1">
      <c r="A5" s="41" t="s">
        <v>45</v>
      </c>
      <c r="B5" s="42" t="s">
        <v>46</v>
      </c>
      <c r="C5" s="42" t="s">
        <v>167</v>
      </c>
      <c r="D5" s="42" t="s">
        <v>55</v>
      </c>
      <c r="E5" s="42" t="s">
        <v>57</v>
      </c>
      <c r="F5" s="42" t="s">
        <v>168</v>
      </c>
      <c r="G5" s="42" t="s">
        <v>169</v>
      </c>
      <c r="H5" s="42" t="s">
        <v>170</v>
      </c>
      <c r="I5" s="42" t="s">
        <v>171</v>
      </c>
      <c r="J5" s="42" t="s">
        <v>172</v>
      </c>
      <c r="K5" s="42" t="s">
        <v>173</v>
      </c>
      <c r="L5" s="42" t="s">
        <v>174</v>
      </c>
      <c r="M5" s="42" t="s">
        <v>175</v>
      </c>
      <c r="N5" s="42" t="s">
        <v>176</v>
      </c>
      <c r="O5" s="42" t="s">
        <v>177</v>
      </c>
      <c r="P5" s="42" t="s">
        <v>178</v>
      </c>
      <c r="Q5" s="42" t="s">
        <v>179</v>
      </c>
      <c r="R5" s="42" t="s">
        <v>180</v>
      </c>
      <c r="S5" s="42" t="s">
        <v>181</v>
      </c>
      <c r="T5" s="42" t="s">
        <v>182</v>
      </c>
      <c r="U5" s="42" t="s">
        <v>183</v>
      </c>
      <c r="V5" s="42" t="s">
        <v>184</v>
      </c>
      <c r="W5" s="42" t="s">
        <v>185</v>
      </c>
      <c r="X5" s="43" t="s">
        <v>186</v>
      </c>
    </row>
    <row r="6" spans="1:24" ht="15" customHeight="1">
      <c r="A6" s="18">
        <v>1</v>
      </c>
      <c r="B6" s="18"/>
      <c r="C6" s="18"/>
      <c r="D6" s="18" t="str">
        <f>IFERROR(INDEX(Setup!$B$18:$B$31,MATCH(MOD($A6-1,Setup!$I$16)+1,Setup!$I$18:$I$31,0)),"")</f>
        <v>Player 1</v>
      </c>
      <c r="E6" s="18" t="str">
        <f>IFERROR(INDEX(Setup!$B$18:$B$31,MATCH(MOD($A6,Setup!$I$16)+1,Setup!$I$18:$I$31,0)),"")</f>
        <v>Player 2</v>
      </c>
      <c r="F6" s="18" t="str">
        <f>IF(Setup!$I$16&gt;=2,"OK","Pick two eligible keepers")</f>
        <v>OK</v>
      </c>
      <c r="G6" s="18" t="str">
        <f>IF(1&gt;MIN(Setup!$B$5,9),"",INDEX(Setup!$B$18:$B$31,MATCH(MOD(MIN(Setup!$B$5,9)-1+1+$A6,MIN(Setup!$B$5,9))+1,Setup!$J$18:$J$31,0)))</f>
        <v>Player 2</v>
      </c>
      <c r="H6" s="18" t="str">
        <f>IF(2&gt;MIN(Setup!$B$5,9),"",INDEX(Setup!$B$18:$B$31,MATCH(MOD(MIN(Setup!$B$5,9)-2+1+$A6,MIN(Setup!$B$5,9))+1,Setup!$J$18:$J$31,0)))</f>
        <v>Player 1</v>
      </c>
      <c r="I6" s="18" t="str">
        <f>IF(3&gt;MIN(Setup!$B$5,9),"",INDEX(Setup!$B$18:$B$31,MATCH(MOD(MIN(Setup!$B$5,9)-3+1+$A6,MIN(Setup!$B$5,9))+1,Setup!$J$18:$J$31,0)))</f>
        <v>Player 7</v>
      </c>
      <c r="J6" s="18" t="str">
        <f>IF(4&gt;MIN(Setup!$B$5,9),"",INDEX(Setup!$B$18:$B$31,MATCH(MOD(MIN(Setup!$B$5,9)-4+1+$A6,MIN(Setup!$B$5,9))+1,Setup!$J$18:$J$31,0)))</f>
        <v>Player 6</v>
      </c>
      <c r="K6" s="18" t="str">
        <f>IF(5&gt;MIN(Setup!$B$5,9),"",INDEX(Setup!$B$18:$B$31,MATCH(MOD(MIN(Setup!$B$5,9)-5+1+$A6,MIN(Setup!$B$5,9))+1,Setup!$J$18:$J$31,0)))</f>
        <v>Player 5</v>
      </c>
      <c r="L6" s="18" t="str">
        <f>IF(6&gt;MIN(Setup!$B$5,9),"",INDEX(Setup!$B$18:$B$31,MATCH(MOD(MIN(Setup!$B$5,9)-6+1+$A6,MIN(Setup!$B$5,9))+1,Setup!$J$18:$J$31,0)))</f>
        <v>Player 4</v>
      </c>
      <c r="M6" s="18" t="str">
        <f>IF(7&gt;MIN(Setup!$B$5,9),"",INDEX(Setup!$B$18:$B$31,MATCH(MOD(MIN(Setup!$B$5,9)-7+1+$A6,MIN(Setup!$B$5,9))+1,Setup!$J$18:$J$31,0)))</f>
        <v>Player 3</v>
      </c>
      <c r="N6" s="18" t="str">
        <f>IF(8&gt;MIN(Setup!$B$5,9),"",INDEX(Setup!$B$18:$B$31,MATCH(MOD(MIN(Setup!$B$5,9)-8+1+$A6,MIN(Setup!$B$5,9))+1,Setup!$J$18:$J$31,0)))</f>
        <v/>
      </c>
      <c r="O6" s="18" t="str">
        <f>IF(9&gt;MIN(Setup!$B$5,9),"",INDEX(Setup!$B$18:$B$31,MATCH(MOD(MIN(Setup!$B$5,9)-9+1+$A6,MIN(Setup!$B$5,9))+1,Setup!$J$18:$J$31,0)))</f>
        <v/>
      </c>
      <c r="P6" s="18" t="str">
        <f>IF(1&gt;MIN(Setup!$B$5,9),"",INDEX(Setup!$B$18:$B$31,MATCH(MOD(1+$A6,MIN(Setup!$B$5,9))+1,Setup!$J$18:$J$31,0)))</f>
        <v>Player 3</v>
      </c>
      <c r="Q6" s="18" t="str">
        <f>IF(2&gt;MIN(Setup!$B$5,9),"",INDEX(Setup!$B$18:$B$31,MATCH(MOD(2+$A6,MIN(Setup!$B$5,9))+1,Setup!$J$18:$J$31,0)))</f>
        <v>Player 4</v>
      </c>
      <c r="R6" s="18" t="str">
        <f>IF(3&gt;MIN(Setup!$B$5,9),"",INDEX(Setup!$B$18:$B$31,MATCH(MOD(3+$A6,MIN(Setup!$B$5,9))+1,Setup!$J$18:$J$31,0)))</f>
        <v>Player 5</v>
      </c>
      <c r="S6" s="18" t="str">
        <f>IF(4&gt;MIN(Setup!$B$5,9),"",INDEX(Setup!$B$18:$B$31,MATCH(MOD(4+$A6,MIN(Setup!$B$5,9))+1,Setup!$J$18:$J$31,0)))</f>
        <v>Player 6</v>
      </c>
      <c r="T6" s="18" t="str">
        <f>IF(5&gt;MIN(Setup!$B$5,9),"",INDEX(Setup!$B$18:$B$31,MATCH(MOD(5+$A6,MIN(Setup!$B$5,9))+1,Setup!$J$18:$J$31,0)))</f>
        <v>Player 7</v>
      </c>
      <c r="U6" s="18" t="str">
        <f>IF(6&gt;MIN(Setup!$B$5,9),"",INDEX(Setup!$B$18:$B$31,MATCH(MOD(6+$A6,MIN(Setup!$B$5,9))+1,Setup!$J$18:$J$31,0)))</f>
        <v>Player 1</v>
      </c>
      <c r="V6" s="18" t="str">
        <f>IF(7&gt;MIN(Setup!$B$5,9),"",INDEX(Setup!$B$18:$B$31,MATCH(MOD(7+$A6,MIN(Setup!$B$5,9))+1,Setup!$J$18:$J$31,0)))</f>
        <v>Player 2</v>
      </c>
      <c r="W6" s="18" t="str">
        <f>IF(8&gt;MIN(Setup!$B$5,9),"",INDEX(Setup!$B$18:$B$31,MATCH(MOD(8+$A6,MIN(Setup!$B$5,9))+1,Setup!$J$18:$J$31,0)))</f>
        <v/>
      </c>
      <c r="X6" s="18" t="str">
        <f>IF(9&gt;MIN(Setup!$B$5,9),"",INDEX(Setup!$B$18:$B$31,MATCH(MOD(9+$A6,MIN(Setup!$B$5,9))+1,Setup!$J$18:$J$31,0)))</f>
        <v/>
      </c>
    </row>
    <row r="7" spans="1:24" ht="15" customHeight="1">
      <c r="A7" s="18">
        <v>2</v>
      </c>
      <c r="B7" s="18"/>
      <c r="C7" s="18"/>
      <c r="D7" s="18" t="str">
        <f>IFERROR(INDEX(Setup!$B$18:$B$31,MATCH(MOD($A7-1,Setup!$I$16)+1,Setup!$I$18:$I$31,0)),"")</f>
        <v>Player 2</v>
      </c>
      <c r="E7" s="18" t="str">
        <f>IFERROR(INDEX(Setup!$B$18:$B$31,MATCH(MOD($A7,Setup!$I$16)+1,Setup!$I$18:$I$31,0)),"")</f>
        <v>Player 3</v>
      </c>
      <c r="F7" s="18" t="str">
        <f>IF(Setup!$I$16&gt;=2,"OK","Pick two eligible keepers")</f>
        <v>OK</v>
      </c>
      <c r="G7" s="18" t="str">
        <f>IF(1&gt;MIN(Setup!$B$5,9),"",INDEX(Setup!$B$18:$B$31,MATCH(MOD(MIN(Setup!$B$5,9)-1+1+$A7,MIN(Setup!$B$5,9))+1,Setup!$J$18:$J$31,0)))</f>
        <v>Player 3</v>
      </c>
      <c r="H7" s="18" t="str">
        <f>IF(2&gt;MIN(Setup!$B$5,9),"",INDEX(Setup!$B$18:$B$31,MATCH(MOD(MIN(Setup!$B$5,9)-2+1+$A7,MIN(Setup!$B$5,9))+1,Setup!$J$18:$J$31,0)))</f>
        <v>Player 2</v>
      </c>
      <c r="I7" s="18" t="str">
        <f>IF(3&gt;MIN(Setup!$B$5,9),"",INDEX(Setup!$B$18:$B$31,MATCH(MOD(MIN(Setup!$B$5,9)-3+1+$A7,MIN(Setup!$B$5,9))+1,Setup!$J$18:$J$31,0)))</f>
        <v>Player 1</v>
      </c>
      <c r="J7" s="18" t="str">
        <f>IF(4&gt;MIN(Setup!$B$5,9),"",INDEX(Setup!$B$18:$B$31,MATCH(MOD(MIN(Setup!$B$5,9)-4+1+$A7,MIN(Setup!$B$5,9))+1,Setup!$J$18:$J$31,0)))</f>
        <v>Player 7</v>
      </c>
      <c r="K7" s="18" t="str">
        <f>IF(5&gt;MIN(Setup!$B$5,9),"",INDEX(Setup!$B$18:$B$31,MATCH(MOD(MIN(Setup!$B$5,9)-5+1+$A7,MIN(Setup!$B$5,9))+1,Setup!$J$18:$J$31,0)))</f>
        <v>Player 6</v>
      </c>
      <c r="L7" s="18" t="str">
        <f>IF(6&gt;MIN(Setup!$B$5,9),"",INDEX(Setup!$B$18:$B$31,MATCH(MOD(MIN(Setup!$B$5,9)-6+1+$A7,MIN(Setup!$B$5,9))+1,Setup!$J$18:$J$31,0)))</f>
        <v>Player 5</v>
      </c>
      <c r="M7" s="18" t="str">
        <f>IF(7&gt;MIN(Setup!$B$5,9),"",INDEX(Setup!$B$18:$B$31,MATCH(MOD(MIN(Setup!$B$5,9)-7+1+$A7,MIN(Setup!$B$5,9))+1,Setup!$J$18:$J$31,0)))</f>
        <v>Player 4</v>
      </c>
      <c r="N7" s="18" t="str">
        <f>IF(8&gt;MIN(Setup!$B$5,9),"",INDEX(Setup!$B$18:$B$31,MATCH(MOD(MIN(Setup!$B$5,9)-8+1+$A7,MIN(Setup!$B$5,9))+1,Setup!$J$18:$J$31,0)))</f>
        <v/>
      </c>
      <c r="O7" s="18" t="str">
        <f>IF(9&gt;MIN(Setup!$B$5,9),"",INDEX(Setup!$B$18:$B$31,MATCH(MOD(MIN(Setup!$B$5,9)-9+1+$A7,MIN(Setup!$B$5,9))+1,Setup!$J$18:$J$31,0)))</f>
        <v/>
      </c>
      <c r="P7" s="18" t="str">
        <f>IF(1&gt;MIN(Setup!$B$5,9),"",INDEX(Setup!$B$18:$B$31,MATCH(MOD(1+$A7,MIN(Setup!$B$5,9))+1,Setup!$J$18:$J$31,0)))</f>
        <v>Player 4</v>
      </c>
      <c r="Q7" s="18" t="str">
        <f>IF(2&gt;MIN(Setup!$B$5,9),"",INDEX(Setup!$B$18:$B$31,MATCH(MOD(2+$A7,MIN(Setup!$B$5,9))+1,Setup!$J$18:$J$31,0)))</f>
        <v>Player 5</v>
      </c>
      <c r="R7" s="18" t="str">
        <f>IF(3&gt;MIN(Setup!$B$5,9),"",INDEX(Setup!$B$18:$B$31,MATCH(MOD(3+$A7,MIN(Setup!$B$5,9))+1,Setup!$J$18:$J$31,0)))</f>
        <v>Player 6</v>
      </c>
      <c r="S7" s="18" t="str">
        <f>IF(4&gt;MIN(Setup!$B$5,9),"",INDEX(Setup!$B$18:$B$31,MATCH(MOD(4+$A7,MIN(Setup!$B$5,9))+1,Setup!$J$18:$J$31,0)))</f>
        <v>Player 7</v>
      </c>
      <c r="T7" s="18" t="str">
        <f>IF(5&gt;MIN(Setup!$B$5,9),"",INDEX(Setup!$B$18:$B$31,MATCH(MOD(5+$A7,MIN(Setup!$B$5,9))+1,Setup!$J$18:$J$31,0)))</f>
        <v>Player 1</v>
      </c>
      <c r="U7" s="18" t="str">
        <f>IF(6&gt;MIN(Setup!$B$5,9),"",INDEX(Setup!$B$18:$B$31,MATCH(MOD(6+$A7,MIN(Setup!$B$5,9))+1,Setup!$J$18:$J$31,0)))</f>
        <v>Player 2</v>
      </c>
      <c r="V7" s="18" t="str">
        <f>IF(7&gt;MIN(Setup!$B$5,9),"",INDEX(Setup!$B$18:$B$31,MATCH(MOD(7+$A7,MIN(Setup!$B$5,9))+1,Setup!$J$18:$J$31,0)))</f>
        <v>Player 3</v>
      </c>
      <c r="W7" s="18" t="str">
        <f>IF(8&gt;MIN(Setup!$B$5,9),"",INDEX(Setup!$B$18:$B$31,MATCH(MOD(8+$A7,MIN(Setup!$B$5,9))+1,Setup!$J$18:$J$31,0)))</f>
        <v/>
      </c>
      <c r="X7" s="18" t="str">
        <f>IF(9&gt;MIN(Setup!$B$5,9),"",INDEX(Setup!$B$18:$B$31,MATCH(MOD(9+$A7,MIN(Setup!$B$5,9))+1,Setup!$J$18:$J$31,0)))</f>
        <v/>
      </c>
    </row>
    <row r="8" spans="1:24" ht="15" customHeight="1">
      <c r="A8" s="18">
        <v>3</v>
      </c>
      <c r="B8" s="18"/>
      <c r="C8" s="18"/>
      <c r="D8" s="18" t="str">
        <f>IFERROR(INDEX(Setup!$B$18:$B$31,MATCH(MOD($A8-1,Setup!$I$16)+1,Setup!$I$18:$I$31,0)),"")</f>
        <v>Player 3</v>
      </c>
      <c r="E8" s="18" t="str">
        <f>IFERROR(INDEX(Setup!$B$18:$B$31,MATCH(MOD($A8,Setup!$I$16)+1,Setup!$I$18:$I$31,0)),"")</f>
        <v>Player 4</v>
      </c>
      <c r="F8" s="18" t="str">
        <f>IF(Setup!$I$16&gt;=2,"OK","Pick two eligible keepers")</f>
        <v>OK</v>
      </c>
      <c r="G8" s="18" t="str">
        <f>IF(1&gt;MIN(Setup!$B$5,9),"",INDEX(Setup!$B$18:$B$31,MATCH(MOD(MIN(Setup!$B$5,9)-1+1+$A8,MIN(Setup!$B$5,9))+1,Setup!$J$18:$J$31,0)))</f>
        <v>Player 4</v>
      </c>
      <c r="H8" s="18" t="str">
        <f>IF(2&gt;MIN(Setup!$B$5,9),"",INDEX(Setup!$B$18:$B$31,MATCH(MOD(MIN(Setup!$B$5,9)-2+1+$A8,MIN(Setup!$B$5,9))+1,Setup!$J$18:$J$31,0)))</f>
        <v>Player 3</v>
      </c>
      <c r="I8" s="18" t="str">
        <f>IF(3&gt;MIN(Setup!$B$5,9),"",INDEX(Setup!$B$18:$B$31,MATCH(MOD(MIN(Setup!$B$5,9)-3+1+$A8,MIN(Setup!$B$5,9))+1,Setup!$J$18:$J$31,0)))</f>
        <v>Player 2</v>
      </c>
      <c r="J8" s="18" t="str">
        <f>IF(4&gt;MIN(Setup!$B$5,9),"",INDEX(Setup!$B$18:$B$31,MATCH(MOD(MIN(Setup!$B$5,9)-4+1+$A8,MIN(Setup!$B$5,9))+1,Setup!$J$18:$J$31,0)))</f>
        <v>Player 1</v>
      </c>
      <c r="K8" s="18" t="str">
        <f>IF(5&gt;MIN(Setup!$B$5,9),"",INDEX(Setup!$B$18:$B$31,MATCH(MOD(MIN(Setup!$B$5,9)-5+1+$A8,MIN(Setup!$B$5,9))+1,Setup!$J$18:$J$31,0)))</f>
        <v>Player 7</v>
      </c>
      <c r="L8" s="18" t="str">
        <f>IF(6&gt;MIN(Setup!$B$5,9),"",INDEX(Setup!$B$18:$B$31,MATCH(MOD(MIN(Setup!$B$5,9)-6+1+$A8,MIN(Setup!$B$5,9))+1,Setup!$J$18:$J$31,0)))</f>
        <v>Player 6</v>
      </c>
      <c r="M8" s="18" t="str">
        <f>IF(7&gt;MIN(Setup!$B$5,9),"",INDEX(Setup!$B$18:$B$31,MATCH(MOD(MIN(Setup!$B$5,9)-7+1+$A8,MIN(Setup!$B$5,9))+1,Setup!$J$18:$J$31,0)))</f>
        <v>Player 5</v>
      </c>
      <c r="N8" s="18" t="str">
        <f>IF(8&gt;MIN(Setup!$B$5,9),"",INDEX(Setup!$B$18:$B$31,MATCH(MOD(MIN(Setup!$B$5,9)-8+1+$A8,MIN(Setup!$B$5,9))+1,Setup!$J$18:$J$31,0)))</f>
        <v/>
      </c>
      <c r="O8" s="18" t="str">
        <f>IF(9&gt;MIN(Setup!$B$5,9),"",INDEX(Setup!$B$18:$B$31,MATCH(MOD(MIN(Setup!$B$5,9)-9+1+$A8,MIN(Setup!$B$5,9))+1,Setup!$J$18:$J$31,0)))</f>
        <v/>
      </c>
      <c r="P8" s="18" t="str">
        <f>IF(1&gt;MIN(Setup!$B$5,9),"",INDEX(Setup!$B$18:$B$31,MATCH(MOD(1+$A8,MIN(Setup!$B$5,9))+1,Setup!$J$18:$J$31,0)))</f>
        <v>Player 5</v>
      </c>
      <c r="Q8" s="18" t="str">
        <f>IF(2&gt;MIN(Setup!$B$5,9),"",INDEX(Setup!$B$18:$B$31,MATCH(MOD(2+$A8,MIN(Setup!$B$5,9))+1,Setup!$J$18:$J$31,0)))</f>
        <v>Player 6</v>
      </c>
      <c r="R8" s="18" t="str">
        <f>IF(3&gt;MIN(Setup!$B$5,9),"",INDEX(Setup!$B$18:$B$31,MATCH(MOD(3+$A8,MIN(Setup!$B$5,9))+1,Setup!$J$18:$J$31,0)))</f>
        <v>Player 7</v>
      </c>
      <c r="S8" s="18" t="str">
        <f>IF(4&gt;MIN(Setup!$B$5,9),"",INDEX(Setup!$B$18:$B$31,MATCH(MOD(4+$A8,MIN(Setup!$B$5,9))+1,Setup!$J$18:$J$31,0)))</f>
        <v>Player 1</v>
      </c>
      <c r="T8" s="18" t="str">
        <f>IF(5&gt;MIN(Setup!$B$5,9),"",INDEX(Setup!$B$18:$B$31,MATCH(MOD(5+$A8,MIN(Setup!$B$5,9))+1,Setup!$J$18:$J$31,0)))</f>
        <v>Player 2</v>
      </c>
      <c r="U8" s="18" t="str">
        <f>IF(6&gt;MIN(Setup!$B$5,9),"",INDEX(Setup!$B$18:$B$31,MATCH(MOD(6+$A8,MIN(Setup!$B$5,9))+1,Setup!$J$18:$J$31,0)))</f>
        <v>Player 3</v>
      </c>
      <c r="V8" s="18" t="str">
        <f>IF(7&gt;MIN(Setup!$B$5,9),"",INDEX(Setup!$B$18:$B$31,MATCH(MOD(7+$A8,MIN(Setup!$B$5,9))+1,Setup!$J$18:$J$31,0)))</f>
        <v>Player 4</v>
      </c>
      <c r="W8" s="18" t="str">
        <f>IF(8&gt;MIN(Setup!$B$5,9),"",INDEX(Setup!$B$18:$B$31,MATCH(MOD(8+$A8,MIN(Setup!$B$5,9))+1,Setup!$J$18:$J$31,0)))</f>
        <v/>
      </c>
      <c r="X8" s="18" t="str">
        <f>IF(9&gt;MIN(Setup!$B$5,9),"",INDEX(Setup!$B$18:$B$31,MATCH(MOD(9+$A8,MIN(Setup!$B$5,9))+1,Setup!$J$18:$J$31,0)))</f>
        <v/>
      </c>
    </row>
    <row r="9" spans="1:24" ht="15" customHeight="1">
      <c r="A9" s="18">
        <v>4</v>
      </c>
      <c r="B9" s="18"/>
      <c r="C9" s="18"/>
      <c r="D9" s="18" t="str">
        <f>IFERROR(INDEX(Setup!$B$18:$B$31,MATCH(MOD($A9-1,Setup!$I$16)+1,Setup!$I$18:$I$31,0)),"")</f>
        <v>Player 4</v>
      </c>
      <c r="E9" s="18" t="str">
        <f>IFERROR(INDEX(Setup!$B$18:$B$31,MATCH(MOD($A9,Setup!$I$16)+1,Setup!$I$18:$I$31,0)),"")</f>
        <v>Player 5</v>
      </c>
      <c r="F9" s="18" t="str">
        <f>IF(Setup!$I$16&gt;=2,"OK","Pick two eligible keepers")</f>
        <v>OK</v>
      </c>
      <c r="G9" s="18" t="str">
        <f>IF(1&gt;MIN(Setup!$B$5,9),"",INDEX(Setup!$B$18:$B$31,MATCH(MOD(MIN(Setup!$B$5,9)-1+1+$A9,MIN(Setup!$B$5,9))+1,Setup!$J$18:$J$31,0)))</f>
        <v>Player 5</v>
      </c>
      <c r="H9" s="18" t="str">
        <f>IF(2&gt;MIN(Setup!$B$5,9),"",INDEX(Setup!$B$18:$B$31,MATCH(MOD(MIN(Setup!$B$5,9)-2+1+$A9,MIN(Setup!$B$5,9))+1,Setup!$J$18:$J$31,0)))</f>
        <v>Player 4</v>
      </c>
      <c r="I9" s="18" t="str">
        <f>IF(3&gt;MIN(Setup!$B$5,9),"",INDEX(Setup!$B$18:$B$31,MATCH(MOD(MIN(Setup!$B$5,9)-3+1+$A9,MIN(Setup!$B$5,9))+1,Setup!$J$18:$J$31,0)))</f>
        <v>Player 3</v>
      </c>
      <c r="J9" s="18" t="str">
        <f>IF(4&gt;MIN(Setup!$B$5,9),"",INDEX(Setup!$B$18:$B$31,MATCH(MOD(MIN(Setup!$B$5,9)-4+1+$A9,MIN(Setup!$B$5,9))+1,Setup!$J$18:$J$31,0)))</f>
        <v>Player 2</v>
      </c>
      <c r="K9" s="18" t="str">
        <f>IF(5&gt;MIN(Setup!$B$5,9),"",INDEX(Setup!$B$18:$B$31,MATCH(MOD(MIN(Setup!$B$5,9)-5+1+$A9,MIN(Setup!$B$5,9))+1,Setup!$J$18:$J$31,0)))</f>
        <v>Player 1</v>
      </c>
      <c r="L9" s="18" t="str">
        <f>IF(6&gt;MIN(Setup!$B$5,9),"",INDEX(Setup!$B$18:$B$31,MATCH(MOD(MIN(Setup!$B$5,9)-6+1+$A9,MIN(Setup!$B$5,9))+1,Setup!$J$18:$J$31,0)))</f>
        <v>Player 7</v>
      </c>
      <c r="M9" s="18" t="str">
        <f>IF(7&gt;MIN(Setup!$B$5,9),"",INDEX(Setup!$B$18:$B$31,MATCH(MOD(MIN(Setup!$B$5,9)-7+1+$A9,MIN(Setup!$B$5,9))+1,Setup!$J$18:$J$31,0)))</f>
        <v>Player 6</v>
      </c>
      <c r="N9" s="18" t="str">
        <f>IF(8&gt;MIN(Setup!$B$5,9),"",INDEX(Setup!$B$18:$B$31,MATCH(MOD(MIN(Setup!$B$5,9)-8+1+$A9,MIN(Setup!$B$5,9))+1,Setup!$J$18:$J$31,0)))</f>
        <v/>
      </c>
      <c r="O9" s="18" t="str">
        <f>IF(9&gt;MIN(Setup!$B$5,9),"",INDEX(Setup!$B$18:$B$31,MATCH(MOD(MIN(Setup!$B$5,9)-9+1+$A9,MIN(Setup!$B$5,9))+1,Setup!$J$18:$J$31,0)))</f>
        <v/>
      </c>
      <c r="P9" s="18" t="str">
        <f>IF(1&gt;MIN(Setup!$B$5,9),"",INDEX(Setup!$B$18:$B$31,MATCH(MOD(1+$A9,MIN(Setup!$B$5,9))+1,Setup!$J$18:$J$31,0)))</f>
        <v>Player 6</v>
      </c>
      <c r="Q9" s="18" t="str">
        <f>IF(2&gt;MIN(Setup!$B$5,9),"",INDEX(Setup!$B$18:$B$31,MATCH(MOD(2+$A9,MIN(Setup!$B$5,9))+1,Setup!$J$18:$J$31,0)))</f>
        <v>Player 7</v>
      </c>
      <c r="R9" s="18" t="str">
        <f>IF(3&gt;MIN(Setup!$B$5,9),"",INDEX(Setup!$B$18:$B$31,MATCH(MOD(3+$A9,MIN(Setup!$B$5,9))+1,Setup!$J$18:$J$31,0)))</f>
        <v>Player 1</v>
      </c>
      <c r="S9" s="18" t="str">
        <f>IF(4&gt;MIN(Setup!$B$5,9),"",INDEX(Setup!$B$18:$B$31,MATCH(MOD(4+$A9,MIN(Setup!$B$5,9))+1,Setup!$J$18:$J$31,0)))</f>
        <v>Player 2</v>
      </c>
      <c r="T9" s="18" t="str">
        <f>IF(5&gt;MIN(Setup!$B$5,9),"",INDEX(Setup!$B$18:$B$31,MATCH(MOD(5+$A9,MIN(Setup!$B$5,9))+1,Setup!$J$18:$J$31,0)))</f>
        <v>Player 3</v>
      </c>
      <c r="U9" s="18" t="str">
        <f>IF(6&gt;MIN(Setup!$B$5,9),"",INDEX(Setup!$B$18:$B$31,MATCH(MOD(6+$A9,MIN(Setup!$B$5,9))+1,Setup!$J$18:$J$31,0)))</f>
        <v>Player 4</v>
      </c>
      <c r="V9" s="18" t="str">
        <f>IF(7&gt;MIN(Setup!$B$5,9),"",INDEX(Setup!$B$18:$B$31,MATCH(MOD(7+$A9,MIN(Setup!$B$5,9))+1,Setup!$J$18:$J$31,0)))</f>
        <v>Player 5</v>
      </c>
      <c r="W9" s="18" t="str">
        <f>IF(8&gt;MIN(Setup!$B$5,9),"",INDEX(Setup!$B$18:$B$31,MATCH(MOD(8+$A9,MIN(Setup!$B$5,9))+1,Setup!$J$18:$J$31,0)))</f>
        <v/>
      </c>
      <c r="X9" s="18" t="str">
        <f>IF(9&gt;MIN(Setup!$B$5,9),"",INDEX(Setup!$B$18:$B$31,MATCH(MOD(9+$A9,MIN(Setup!$B$5,9))+1,Setup!$J$18:$J$31,0)))</f>
        <v/>
      </c>
    </row>
    <row r="10" spans="1:24" ht="15" customHeight="1">
      <c r="A10" s="18">
        <v>5</v>
      </c>
      <c r="B10" s="18"/>
      <c r="C10" s="18"/>
      <c r="D10" s="18" t="str">
        <f>IFERROR(INDEX(Setup!$B$18:$B$31,MATCH(MOD($A10-1,Setup!$I$16)+1,Setup!$I$18:$I$31,0)),"")</f>
        <v>Player 5</v>
      </c>
      <c r="E10" s="18" t="str">
        <f>IFERROR(INDEX(Setup!$B$18:$B$31,MATCH(MOD($A10,Setup!$I$16)+1,Setup!$I$18:$I$31,0)),"")</f>
        <v>Player 6</v>
      </c>
      <c r="F10" s="18" t="str">
        <f>IF(Setup!$I$16&gt;=2,"OK","Pick two eligible keepers")</f>
        <v>OK</v>
      </c>
      <c r="G10" s="18" t="str">
        <f>IF(1&gt;MIN(Setup!$B$5,9),"",INDEX(Setup!$B$18:$B$31,MATCH(MOD(MIN(Setup!$B$5,9)-1+1+$A10,MIN(Setup!$B$5,9))+1,Setup!$J$18:$J$31,0)))</f>
        <v>Player 6</v>
      </c>
      <c r="H10" s="18" t="str">
        <f>IF(2&gt;MIN(Setup!$B$5,9),"",INDEX(Setup!$B$18:$B$31,MATCH(MOD(MIN(Setup!$B$5,9)-2+1+$A10,MIN(Setup!$B$5,9))+1,Setup!$J$18:$J$31,0)))</f>
        <v>Player 5</v>
      </c>
      <c r="I10" s="18" t="str">
        <f>IF(3&gt;MIN(Setup!$B$5,9),"",INDEX(Setup!$B$18:$B$31,MATCH(MOD(MIN(Setup!$B$5,9)-3+1+$A10,MIN(Setup!$B$5,9))+1,Setup!$J$18:$J$31,0)))</f>
        <v>Player 4</v>
      </c>
      <c r="J10" s="18" t="str">
        <f>IF(4&gt;MIN(Setup!$B$5,9),"",INDEX(Setup!$B$18:$B$31,MATCH(MOD(MIN(Setup!$B$5,9)-4+1+$A10,MIN(Setup!$B$5,9))+1,Setup!$J$18:$J$31,0)))</f>
        <v>Player 3</v>
      </c>
      <c r="K10" s="18" t="str">
        <f>IF(5&gt;MIN(Setup!$B$5,9),"",INDEX(Setup!$B$18:$B$31,MATCH(MOD(MIN(Setup!$B$5,9)-5+1+$A10,MIN(Setup!$B$5,9))+1,Setup!$J$18:$J$31,0)))</f>
        <v>Player 2</v>
      </c>
      <c r="L10" s="18" t="str">
        <f>IF(6&gt;MIN(Setup!$B$5,9),"",INDEX(Setup!$B$18:$B$31,MATCH(MOD(MIN(Setup!$B$5,9)-6+1+$A10,MIN(Setup!$B$5,9))+1,Setup!$J$18:$J$31,0)))</f>
        <v>Player 1</v>
      </c>
      <c r="M10" s="18" t="str">
        <f>IF(7&gt;MIN(Setup!$B$5,9),"",INDEX(Setup!$B$18:$B$31,MATCH(MOD(MIN(Setup!$B$5,9)-7+1+$A10,MIN(Setup!$B$5,9))+1,Setup!$J$18:$J$31,0)))</f>
        <v>Player 7</v>
      </c>
      <c r="N10" s="18" t="str">
        <f>IF(8&gt;MIN(Setup!$B$5,9),"",INDEX(Setup!$B$18:$B$31,MATCH(MOD(MIN(Setup!$B$5,9)-8+1+$A10,MIN(Setup!$B$5,9))+1,Setup!$J$18:$J$31,0)))</f>
        <v/>
      </c>
      <c r="O10" s="18" t="str">
        <f>IF(9&gt;MIN(Setup!$B$5,9),"",INDEX(Setup!$B$18:$B$31,MATCH(MOD(MIN(Setup!$B$5,9)-9+1+$A10,MIN(Setup!$B$5,9))+1,Setup!$J$18:$J$31,0)))</f>
        <v/>
      </c>
      <c r="P10" s="18" t="str">
        <f>IF(1&gt;MIN(Setup!$B$5,9),"",INDEX(Setup!$B$18:$B$31,MATCH(MOD(1+$A10,MIN(Setup!$B$5,9))+1,Setup!$J$18:$J$31,0)))</f>
        <v>Player 7</v>
      </c>
      <c r="Q10" s="18" t="str">
        <f>IF(2&gt;MIN(Setup!$B$5,9),"",INDEX(Setup!$B$18:$B$31,MATCH(MOD(2+$A10,MIN(Setup!$B$5,9))+1,Setup!$J$18:$J$31,0)))</f>
        <v>Player 1</v>
      </c>
      <c r="R10" s="18" t="str">
        <f>IF(3&gt;MIN(Setup!$B$5,9),"",INDEX(Setup!$B$18:$B$31,MATCH(MOD(3+$A10,MIN(Setup!$B$5,9))+1,Setup!$J$18:$J$31,0)))</f>
        <v>Player 2</v>
      </c>
      <c r="S10" s="18" t="str">
        <f>IF(4&gt;MIN(Setup!$B$5,9),"",INDEX(Setup!$B$18:$B$31,MATCH(MOD(4+$A10,MIN(Setup!$B$5,9))+1,Setup!$J$18:$J$31,0)))</f>
        <v>Player 3</v>
      </c>
      <c r="T10" s="18" t="str">
        <f>IF(5&gt;MIN(Setup!$B$5,9),"",INDEX(Setup!$B$18:$B$31,MATCH(MOD(5+$A10,MIN(Setup!$B$5,9))+1,Setup!$J$18:$J$31,0)))</f>
        <v>Player 4</v>
      </c>
      <c r="U10" s="18" t="str">
        <f>IF(6&gt;MIN(Setup!$B$5,9),"",INDEX(Setup!$B$18:$B$31,MATCH(MOD(6+$A10,MIN(Setup!$B$5,9))+1,Setup!$J$18:$J$31,0)))</f>
        <v>Player 5</v>
      </c>
      <c r="V10" s="18" t="str">
        <f>IF(7&gt;MIN(Setup!$B$5,9),"",INDEX(Setup!$B$18:$B$31,MATCH(MOD(7+$A10,MIN(Setup!$B$5,9))+1,Setup!$J$18:$J$31,0)))</f>
        <v>Player 6</v>
      </c>
      <c r="W10" s="18" t="str">
        <f>IF(8&gt;MIN(Setup!$B$5,9),"",INDEX(Setup!$B$18:$B$31,MATCH(MOD(8+$A10,MIN(Setup!$B$5,9))+1,Setup!$J$18:$J$31,0)))</f>
        <v/>
      </c>
      <c r="X10" s="18" t="str">
        <f>IF(9&gt;MIN(Setup!$B$5,9),"",INDEX(Setup!$B$18:$B$31,MATCH(MOD(9+$A10,MIN(Setup!$B$5,9))+1,Setup!$J$18:$J$31,0)))</f>
        <v/>
      </c>
    </row>
    <row r="11" spans="1:24" ht="15" customHeight="1">
      <c r="A11" s="18">
        <v>6</v>
      </c>
      <c r="B11" s="18"/>
      <c r="C11" s="18"/>
      <c r="D11" s="18" t="str">
        <f>IFERROR(INDEX(Setup!$B$18:$B$31,MATCH(MOD($A11-1,Setup!$I$16)+1,Setup!$I$18:$I$31,0)),"")</f>
        <v>Player 6</v>
      </c>
      <c r="E11" s="18" t="str">
        <f>IFERROR(INDEX(Setup!$B$18:$B$31,MATCH(MOD($A11,Setup!$I$16)+1,Setup!$I$18:$I$31,0)),"")</f>
        <v>Player 7</v>
      </c>
      <c r="F11" s="18" t="str">
        <f>IF(Setup!$I$16&gt;=2,"OK","Pick two eligible keepers")</f>
        <v>OK</v>
      </c>
      <c r="G11" s="18" t="str">
        <f>IF(1&gt;MIN(Setup!$B$5,9),"",INDEX(Setup!$B$18:$B$31,MATCH(MOD(MIN(Setup!$B$5,9)-1+1+$A11,MIN(Setup!$B$5,9))+1,Setup!$J$18:$J$31,0)))</f>
        <v>Player 7</v>
      </c>
      <c r="H11" s="18" t="str">
        <f>IF(2&gt;MIN(Setup!$B$5,9),"",INDEX(Setup!$B$18:$B$31,MATCH(MOD(MIN(Setup!$B$5,9)-2+1+$A11,MIN(Setup!$B$5,9))+1,Setup!$J$18:$J$31,0)))</f>
        <v>Player 6</v>
      </c>
      <c r="I11" s="18" t="str">
        <f>IF(3&gt;MIN(Setup!$B$5,9),"",INDEX(Setup!$B$18:$B$31,MATCH(MOD(MIN(Setup!$B$5,9)-3+1+$A11,MIN(Setup!$B$5,9))+1,Setup!$J$18:$J$31,0)))</f>
        <v>Player 5</v>
      </c>
      <c r="J11" s="18" t="str">
        <f>IF(4&gt;MIN(Setup!$B$5,9),"",INDEX(Setup!$B$18:$B$31,MATCH(MOD(MIN(Setup!$B$5,9)-4+1+$A11,MIN(Setup!$B$5,9))+1,Setup!$J$18:$J$31,0)))</f>
        <v>Player 4</v>
      </c>
      <c r="K11" s="18" t="str">
        <f>IF(5&gt;MIN(Setup!$B$5,9),"",INDEX(Setup!$B$18:$B$31,MATCH(MOD(MIN(Setup!$B$5,9)-5+1+$A11,MIN(Setup!$B$5,9))+1,Setup!$J$18:$J$31,0)))</f>
        <v>Player 3</v>
      </c>
      <c r="L11" s="18" t="str">
        <f>IF(6&gt;MIN(Setup!$B$5,9),"",INDEX(Setup!$B$18:$B$31,MATCH(MOD(MIN(Setup!$B$5,9)-6+1+$A11,MIN(Setup!$B$5,9))+1,Setup!$J$18:$J$31,0)))</f>
        <v>Player 2</v>
      </c>
      <c r="M11" s="18" t="str">
        <f>IF(7&gt;MIN(Setup!$B$5,9),"",INDEX(Setup!$B$18:$B$31,MATCH(MOD(MIN(Setup!$B$5,9)-7+1+$A11,MIN(Setup!$B$5,9))+1,Setup!$J$18:$J$31,0)))</f>
        <v>Player 1</v>
      </c>
      <c r="N11" s="18" t="str">
        <f>IF(8&gt;MIN(Setup!$B$5,9),"",INDEX(Setup!$B$18:$B$31,MATCH(MOD(MIN(Setup!$B$5,9)-8+1+$A11,MIN(Setup!$B$5,9))+1,Setup!$J$18:$J$31,0)))</f>
        <v/>
      </c>
      <c r="O11" s="18" t="str">
        <f>IF(9&gt;MIN(Setup!$B$5,9),"",INDEX(Setup!$B$18:$B$31,MATCH(MOD(MIN(Setup!$B$5,9)-9+1+$A11,MIN(Setup!$B$5,9))+1,Setup!$J$18:$J$31,0)))</f>
        <v/>
      </c>
      <c r="P11" s="18" t="str">
        <f>IF(1&gt;MIN(Setup!$B$5,9),"",INDEX(Setup!$B$18:$B$31,MATCH(MOD(1+$A11,MIN(Setup!$B$5,9))+1,Setup!$J$18:$J$31,0)))</f>
        <v>Player 1</v>
      </c>
      <c r="Q11" s="18" t="str">
        <f>IF(2&gt;MIN(Setup!$B$5,9),"",INDEX(Setup!$B$18:$B$31,MATCH(MOD(2+$A11,MIN(Setup!$B$5,9))+1,Setup!$J$18:$J$31,0)))</f>
        <v>Player 2</v>
      </c>
      <c r="R11" s="18" t="str">
        <f>IF(3&gt;MIN(Setup!$B$5,9),"",INDEX(Setup!$B$18:$B$31,MATCH(MOD(3+$A11,MIN(Setup!$B$5,9))+1,Setup!$J$18:$J$31,0)))</f>
        <v>Player 3</v>
      </c>
      <c r="S11" s="18" t="str">
        <f>IF(4&gt;MIN(Setup!$B$5,9),"",INDEX(Setup!$B$18:$B$31,MATCH(MOD(4+$A11,MIN(Setup!$B$5,9))+1,Setup!$J$18:$J$31,0)))</f>
        <v>Player 4</v>
      </c>
      <c r="T11" s="18" t="str">
        <f>IF(5&gt;MIN(Setup!$B$5,9),"",INDEX(Setup!$B$18:$B$31,MATCH(MOD(5+$A11,MIN(Setup!$B$5,9))+1,Setup!$J$18:$J$31,0)))</f>
        <v>Player 5</v>
      </c>
      <c r="U11" s="18" t="str">
        <f>IF(6&gt;MIN(Setup!$B$5,9),"",INDEX(Setup!$B$18:$B$31,MATCH(MOD(6+$A11,MIN(Setup!$B$5,9))+1,Setup!$J$18:$J$31,0)))</f>
        <v>Player 6</v>
      </c>
      <c r="V11" s="18" t="str">
        <f>IF(7&gt;MIN(Setup!$B$5,9),"",INDEX(Setup!$B$18:$B$31,MATCH(MOD(7+$A11,MIN(Setup!$B$5,9))+1,Setup!$J$18:$J$31,0)))</f>
        <v>Player 7</v>
      </c>
      <c r="W11" s="18" t="str">
        <f>IF(8&gt;MIN(Setup!$B$5,9),"",INDEX(Setup!$B$18:$B$31,MATCH(MOD(8+$A11,MIN(Setup!$B$5,9))+1,Setup!$J$18:$J$31,0)))</f>
        <v/>
      </c>
      <c r="X11" s="18" t="str">
        <f>IF(9&gt;MIN(Setup!$B$5,9),"",INDEX(Setup!$B$18:$B$31,MATCH(MOD(9+$A11,MIN(Setup!$B$5,9))+1,Setup!$J$18:$J$31,0)))</f>
        <v/>
      </c>
    </row>
    <row r="12" spans="1:24" ht="15" customHeight="1">
      <c r="A12" s="18">
        <v>7</v>
      </c>
      <c r="B12" s="18"/>
      <c r="C12" s="18"/>
      <c r="D12" s="18" t="str">
        <f>IFERROR(INDEX(Setup!$B$18:$B$31,MATCH(MOD($A12-1,Setup!$I$16)+1,Setup!$I$18:$I$31,0)),"")</f>
        <v>Player 7</v>
      </c>
      <c r="E12" s="18" t="str">
        <f>IFERROR(INDEX(Setup!$B$18:$B$31,MATCH(MOD($A12,Setup!$I$16)+1,Setup!$I$18:$I$31,0)),"")</f>
        <v>Player 1</v>
      </c>
      <c r="F12" s="18" t="str">
        <f>IF(Setup!$I$16&gt;=2,"OK","Pick two eligible keepers")</f>
        <v>OK</v>
      </c>
      <c r="G12" s="18" t="str">
        <f>IF(1&gt;MIN(Setup!$B$5,9),"",INDEX(Setup!$B$18:$B$31,MATCH(MOD(MIN(Setup!$B$5,9)-1+1+$A12,MIN(Setup!$B$5,9))+1,Setup!$J$18:$J$31,0)))</f>
        <v>Player 1</v>
      </c>
      <c r="H12" s="18" t="str">
        <f>IF(2&gt;MIN(Setup!$B$5,9),"",INDEX(Setup!$B$18:$B$31,MATCH(MOD(MIN(Setup!$B$5,9)-2+1+$A12,MIN(Setup!$B$5,9))+1,Setup!$J$18:$J$31,0)))</f>
        <v>Player 7</v>
      </c>
      <c r="I12" s="18" t="str">
        <f>IF(3&gt;MIN(Setup!$B$5,9),"",INDEX(Setup!$B$18:$B$31,MATCH(MOD(MIN(Setup!$B$5,9)-3+1+$A12,MIN(Setup!$B$5,9))+1,Setup!$J$18:$J$31,0)))</f>
        <v>Player 6</v>
      </c>
      <c r="J12" s="18" t="str">
        <f>IF(4&gt;MIN(Setup!$B$5,9),"",INDEX(Setup!$B$18:$B$31,MATCH(MOD(MIN(Setup!$B$5,9)-4+1+$A12,MIN(Setup!$B$5,9))+1,Setup!$J$18:$J$31,0)))</f>
        <v>Player 5</v>
      </c>
      <c r="K12" s="18" t="str">
        <f>IF(5&gt;MIN(Setup!$B$5,9),"",INDEX(Setup!$B$18:$B$31,MATCH(MOD(MIN(Setup!$B$5,9)-5+1+$A12,MIN(Setup!$B$5,9))+1,Setup!$J$18:$J$31,0)))</f>
        <v>Player 4</v>
      </c>
      <c r="L12" s="18" t="str">
        <f>IF(6&gt;MIN(Setup!$B$5,9),"",INDEX(Setup!$B$18:$B$31,MATCH(MOD(MIN(Setup!$B$5,9)-6+1+$A12,MIN(Setup!$B$5,9))+1,Setup!$J$18:$J$31,0)))</f>
        <v>Player 3</v>
      </c>
      <c r="M12" s="18" t="str">
        <f>IF(7&gt;MIN(Setup!$B$5,9),"",INDEX(Setup!$B$18:$B$31,MATCH(MOD(MIN(Setup!$B$5,9)-7+1+$A12,MIN(Setup!$B$5,9))+1,Setup!$J$18:$J$31,0)))</f>
        <v>Player 2</v>
      </c>
      <c r="N12" s="18" t="str">
        <f>IF(8&gt;MIN(Setup!$B$5,9),"",INDEX(Setup!$B$18:$B$31,MATCH(MOD(MIN(Setup!$B$5,9)-8+1+$A12,MIN(Setup!$B$5,9))+1,Setup!$J$18:$J$31,0)))</f>
        <v/>
      </c>
      <c r="O12" s="18" t="str">
        <f>IF(9&gt;MIN(Setup!$B$5,9),"",INDEX(Setup!$B$18:$B$31,MATCH(MOD(MIN(Setup!$B$5,9)-9+1+$A12,MIN(Setup!$B$5,9))+1,Setup!$J$18:$J$31,0)))</f>
        <v/>
      </c>
      <c r="P12" s="18" t="str">
        <f>IF(1&gt;MIN(Setup!$B$5,9),"",INDEX(Setup!$B$18:$B$31,MATCH(MOD(1+$A12,MIN(Setup!$B$5,9))+1,Setup!$J$18:$J$31,0)))</f>
        <v>Player 2</v>
      </c>
      <c r="Q12" s="18" t="str">
        <f>IF(2&gt;MIN(Setup!$B$5,9),"",INDEX(Setup!$B$18:$B$31,MATCH(MOD(2+$A12,MIN(Setup!$B$5,9))+1,Setup!$J$18:$J$31,0)))</f>
        <v>Player 3</v>
      </c>
      <c r="R12" s="18" t="str">
        <f>IF(3&gt;MIN(Setup!$B$5,9),"",INDEX(Setup!$B$18:$B$31,MATCH(MOD(3+$A12,MIN(Setup!$B$5,9))+1,Setup!$J$18:$J$31,0)))</f>
        <v>Player 4</v>
      </c>
      <c r="S12" s="18" t="str">
        <f>IF(4&gt;MIN(Setup!$B$5,9),"",INDEX(Setup!$B$18:$B$31,MATCH(MOD(4+$A12,MIN(Setup!$B$5,9))+1,Setup!$J$18:$J$31,0)))</f>
        <v>Player 5</v>
      </c>
      <c r="T12" s="18" t="str">
        <f>IF(5&gt;MIN(Setup!$B$5,9),"",INDEX(Setup!$B$18:$B$31,MATCH(MOD(5+$A12,MIN(Setup!$B$5,9))+1,Setup!$J$18:$J$31,0)))</f>
        <v>Player 6</v>
      </c>
      <c r="U12" s="18" t="str">
        <f>IF(6&gt;MIN(Setup!$B$5,9),"",INDEX(Setup!$B$18:$B$31,MATCH(MOD(6+$A12,MIN(Setup!$B$5,9))+1,Setup!$J$18:$J$31,0)))</f>
        <v>Player 7</v>
      </c>
      <c r="V12" s="18" t="str">
        <f>IF(7&gt;MIN(Setup!$B$5,9),"",INDEX(Setup!$B$18:$B$31,MATCH(MOD(7+$A12,MIN(Setup!$B$5,9))+1,Setup!$J$18:$J$31,0)))</f>
        <v>Player 1</v>
      </c>
      <c r="W12" s="18" t="str">
        <f>IF(8&gt;MIN(Setup!$B$5,9),"",INDEX(Setup!$B$18:$B$31,MATCH(MOD(8+$A12,MIN(Setup!$B$5,9))+1,Setup!$J$18:$J$31,0)))</f>
        <v/>
      </c>
      <c r="X12" s="18" t="str">
        <f>IF(9&gt;MIN(Setup!$B$5,9),"",INDEX(Setup!$B$18:$B$31,MATCH(MOD(9+$A12,MIN(Setup!$B$5,9))+1,Setup!$J$18:$J$31,0)))</f>
        <v/>
      </c>
    </row>
    <row r="13" spans="1:24" ht="15" customHeight="1">
      <c r="A13" s="18">
        <v>8</v>
      </c>
      <c r="B13" s="18"/>
      <c r="C13" s="18"/>
      <c r="D13" s="18" t="str">
        <f>IFERROR(INDEX(Setup!$B$18:$B$31,MATCH(MOD($A13-1,Setup!$I$16)+1,Setup!$I$18:$I$31,0)),"")</f>
        <v>Player 1</v>
      </c>
      <c r="E13" s="18" t="str">
        <f>IFERROR(INDEX(Setup!$B$18:$B$31,MATCH(MOD($A13,Setup!$I$16)+1,Setup!$I$18:$I$31,0)),"")</f>
        <v>Player 2</v>
      </c>
      <c r="F13" s="18" t="str">
        <f>IF(Setup!$I$16&gt;=2,"OK","Pick two eligible keepers")</f>
        <v>OK</v>
      </c>
      <c r="G13" s="18" t="str">
        <f>IF(1&gt;MIN(Setup!$B$5,9),"",INDEX(Setup!$B$18:$B$31,MATCH(MOD(MIN(Setup!$B$5,9)-1+1+$A13,MIN(Setup!$B$5,9))+1,Setup!$J$18:$J$31,0)))</f>
        <v>Player 2</v>
      </c>
      <c r="H13" s="18" t="str">
        <f>IF(2&gt;MIN(Setup!$B$5,9),"",INDEX(Setup!$B$18:$B$31,MATCH(MOD(MIN(Setup!$B$5,9)-2+1+$A13,MIN(Setup!$B$5,9))+1,Setup!$J$18:$J$31,0)))</f>
        <v>Player 1</v>
      </c>
      <c r="I13" s="18" t="str">
        <f>IF(3&gt;MIN(Setup!$B$5,9),"",INDEX(Setup!$B$18:$B$31,MATCH(MOD(MIN(Setup!$B$5,9)-3+1+$A13,MIN(Setup!$B$5,9))+1,Setup!$J$18:$J$31,0)))</f>
        <v>Player 7</v>
      </c>
      <c r="J13" s="18" t="str">
        <f>IF(4&gt;MIN(Setup!$B$5,9),"",INDEX(Setup!$B$18:$B$31,MATCH(MOD(MIN(Setup!$B$5,9)-4+1+$A13,MIN(Setup!$B$5,9))+1,Setup!$J$18:$J$31,0)))</f>
        <v>Player 6</v>
      </c>
      <c r="K13" s="18" t="str">
        <f>IF(5&gt;MIN(Setup!$B$5,9),"",INDEX(Setup!$B$18:$B$31,MATCH(MOD(MIN(Setup!$B$5,9)-5+1+$A13,MIN(Setup!$B$5,9))+1,Setup!$J$18:$J$31,0)))</f>
        <v>Player 5</v>
      </c>
      <c r="L13" s="18" t="str">
        <f>IF(6&gt;MIN(Setup!$B$5,9),"",INDEX(Setup!$B$18:$B$31,MATCH(MOD(MIN(Setup!$B$5,9)-6+1+$A13,MIN(Setup!$B$5,9))+1,Setup!$J$18:$J$31,0)))</f>
        <v>Player 4</v>
      </c>
      <c r="M13" s="18" t="str">
        <f>IF(7&gt;MIN(Setup!$B$5,9),"",INDEX(Setup!$B$18:$B$31,MATCH(MOD(MIN(Setup!$B$5,9)-7+1+$A13,MIN(Setup!$B$5,9))+1,Setup!$J$18:$J$31,0)))</f>
        <v>Player 3</v>
      </c>
      <c r="N13" s="18" t="str">
        <f>IF(8&gt;MIN(Setup!$B$5,9),"",INDEX(Setup!$B$18:$B$31,MATCH(MOD(MIN(Setup!$B$5,9)-8+1+$A13,MIN(Setup!$B$5,9))+1,Setup!$J$18:$J$31,0)))</f>
        <v/>
      </c>
      <c r="O13" s="18" t="str">
        <f>IF(9&gt;MIN(Setup!$B$5,9),"",INDEX(Setup!$B$18:$B$31,MATCH(MOD(MIN(Setup!$B$5,9)-9+1+$A13,MIN(Setup!$B$5,9))+1,Setup!$J$18:$J$31,0)))</f>
        <v/>
      </c>
      <c r="P13" s="18" t="str">
        <f>IF(1&gt;MIN(Setup!$B$5,9),"",INDEX(Setup!$B$18:$B$31,MATCH(MOD(1+$A13,MIN(Setup!$B$5,9))+1,Setup!$J$18:$J$31,0)))</f>
        <v>Player 3</v>
      </c>
      <c r="Q13" s="18" t="str">
        <f>IF(2&gt;MIN(Setup!$B$5,9),"",INDEX(Setup!$B$18:$B$31,MATCH(MOD(2+$A13,MIN(Setup!$B$5,9))+1,Setup!$J$18:$J$31,0)))</f>
        <v>Player 4</v>
      </c>
      <c r="R13" s="18" t="str">
        <f>IF(3&gt;MIN(Setup!$B$5,9),"",INDEX(Setup!$B$18:$B$31,MATCH(MOD(3+$A13,MIN(Setup!$B$5,9))+1,Setup!$J$18:$J$31,0)))</f>
        <v>Player 5</v>
      </c>
      <c r="S13" s="18" t="str">
        <f>IF(4&gt;MIN(Setup!$B$5,9),"",INDEX(Setup!$B$18:$B$31,MATCH(MOD(4+$A13,MIN(Setup!$B$5,9))+1,Setup!$J$18:$J$31,0)))</f>
        <v>Player 6</v>
      </c>
      <c r="T13" s="18" t="str">
        <f>IF(5&gt;MIN(Setup!$B$5,9),"",INDEX(Setup!$B$18:$B$31,MATCH(MOD(5+$A13,MIN(Setup!$B$5,9))+1,Setup!$J$18:$J$31,0)))</f>
        <v>Player 7</v>
      </c>
      <c r="U13" s="18" t="str">
        <f>IF(6&gt;MIN(Setup!$B$5,9),"",INDEX(Setup!$B$18:$B$31,MATCH(MOD(6+$A13,MIN(Setup!$B$5,9))+1,Setup!$J$18:$J$31,0)))</f>
        <v>Player 1</v>
      </c>
      <c r="V13" s="18" t="str">
        <f>IF(7&gt;MIN(Setup!$B$5,9),"",INDEX(Setup!$B$18:$B$31,MATCH(MOD(7+$A13,MIN(Setup!$B$5,9))+1,Setup!$J$18:$J$31,0)))</f>
        <v>Player 2</v>
      </c>
      <c r="W13" s="18" t="str">
        <f>IF(8&gt;MIN(Setup!$B$5,9),"",INDEX(Setup!$B$18:$B$31,MATCH(MOD(8+$A13,MIN(Setup!$B$5,9))+1,Setup!$J$18:$J$31,0)))</f>
        <v/>
      </c>
      <c r="X13" s="18" t="str">
        <f>IF(9&gt;MIN(Setup!$B$5,9),"",INDEX(Setup!$B$18:$B$31,MATCH(MOD(9+$A13,MIN(Setup!$B$5,9))+1,Setup!$J$18:$J$31,0)))</f>
        <v/>
      </c>
    </row>
    <row r="14" spans="1:24" ht="15" customHeight="1">
      <c r="A14" s="18">
        <v>9</v>
      </c>
      <c r="B14" s="18"/>
      <c r="C14" s="18"/>
      <c r="D14" s="18" t="str">
        <f>IFERROR(INDEX(Setup!$B$18:$B$31,MATCH(MOD($A14-1,Setup!$I$16)+1,Setup!$I$18:$I$31,0)),"")</f>
        <v>Player 2</v>
      </c>
      <c r="E14" s="18" t="str">
        <f>IFERROR(INDEX(Setup!$B$18:$B$31,MATCH(MOD($A14,Setup!$I$16)+1,Setup!$I$18:$I$31,0)),"")</f>
        <v>Player 3</v>
      </c>
      <c r="F14" s="18" t="str">
        <f>IF(Setup!$I$16&gt;=2,"OK","Pick two eligible keepers")</f>
        <v>OK</v>
      </c>
      <c r="G14" s="18" t="str">
        <f>IF(1&gt;MIN(Setup!$B$5,9),"",INDEX(Setup!$B$18:$B$31,MATCH(MOD(MIN(Setup!$B$5,9)-1+1+$A14,MIN(Setup!$B$5,9))+1,Setup!$J$18:$J$31,0)))</f>
        <v>Player 3</v>
      </c>
      <c r="H14" s="18" t="str">
        <f>IF(2&gt;MIN(Setup!$B$5,9),"",INDEX(Setup!$B$18:$B$31,MATCH(MOD(MIN(Setup!$B$5,9)-2+1+$A14,MIN(Setup!$B$5,9))+1,Setup!$J$18:$J$31,0)))</f>
        <v>Player 2</v>
      </c>
      <c r="I14" s="18" t="str">
        <f>IF(3&gt;MIN(Setup!$B$5,9),"",INDEX(Setup!$B$18:$B$31,MATCH(MOD(MIN(Setup!$B$5,9)-3+1+$A14,MIN(Setup!$B$5,9))+1,Setup!$J$18:$J$31,0)))</f>
        <v>Player 1</v>
      </c>
      <c r="J14" s="18" t="str">
        <f>IF(4&gt;MIN(Setup!$B$5,9),"",INDEX(Setup!$B$18:$B$31,MATCH(MOD(MIN(Setup!$B$5,9)-4+1+$A14,MIN(Setup!$B$5,9))+1,Setup!$J$18:$J$31,0)))</f>
        <v>Player 7</v>
      </c>
      <c r="K14" s="18" t="str">
        <f>IF(5&gt;MIN(Setup!$B$5,9),"",INDEX(Setup!$B$18:$B$31,MATCH(MOD(MIN(Setup!$B$5,9)-5+1+$A14,MIN(Setup!$B$5,9))+1,Setup!$J$18:$J$31,0)))</f>
        <v>Player 6</v>
      </c>
      <c r="L14" s="18" t="str">
        <f>IF(6&gt;MIN(Setup!$B$5,9),"",INDEX(Setup!$B$18:$B$31,MATCH(MOD(MIN(Setup!$B$5,9)-6+1+$A14,MIN(Setup!$B$5,9))+1,Setup!$J$18:$J$31,0)))</f>
        <v>Player 5</v>
      </c>
      <c r="M14" s="18" t="str">
        <f>IF(7&gt;MIN(Setup!$B$5,9),"",INDEX(Setup!$B$18:$B$31,MATCH(MOD(MIN(Setup!$B$5,9)-7+1+$A14,MIN(Setup!$B$5,9))+1,Setup!$J$18:$J$31,0)))</f>
        <v>Player 4</v>
      </c>
      <c r="N14" s="18" t="str">
        <f>IF(8&gt;MIN(Setup!$B$5,9),"",INDEX(Setup!$B$18:$B$31,MATCH(MOD(MIN(Setup!$B$5,9)-8+1+$A14,MIN(Setup!$B$5,9))+1,Setup!$J$18:$J$31,0)))</f>
        <v/>
      </c>
      <c r="O14" s="18" t="str">
        <f>IF(9&gt;MIN(Setup!$B$5,9),"",INDEX(Setup!$B$18:$B$31,MATCH(MOD(MIN(Setup!$B$5,9)-9+1+$A14,MIN(Setup!$B$5,9))+1,Setup!$J$18:$J$31,0)))</f>
        <v/>
      </c>
      <c r="P14" s="18" t="str">
        <f>IF(1&gt;MIN(Setup!$B$5,9),"",INDEX(Setup!$B$18:$B$31,MATCH(MOD(1+$A14,MIN(Setup!$B$5,9))+1,Setup!$J$18:$J$31,0)))</f>
        <v>Player 4</v>
      </c>
      <c r="Q14" s="18" t="str">
        <f>IF(2&gt;MIN(Setup!$B$5,9),"",INDEX(Setup!$B$18:$B$31,MATCH(MOD(2+$A14,MIN(Setup!$B$5,9))+1,Setup!$J$18:$J$31,0)))</f>
        <v>Player 5</v>
      </c>
      <c r="R14" s="18" t="str">
        <f>IF(3&gt;MIN(Setup!$B$5,9),"",INDEX(Setup!$B$18:$B$31,MATCH(MOD(3+$A14,MIN(Setup!$B$5,9))+1,Setup!$J$18:$J$31,0)))</f>
        <v>Player 6</v>
      </c>
      <c r="S14" s="18" t="str">
        <f>IF(4&gt;MIN(Setup!$B$5,9),"",INDEX(Setup!$B$18:$B$31,MATCH(MOD(4+$A14,MIN(Setup!$B$5,9))+1,Setup!$J$18:$J$31,0)))</f>
        <v>Player 7</v>
      </c>
      <c r="T14" s="18" t="str">
        <f>IF(5&gt;MIN(Setup!$B$5,9),"",INDEX(Setup!$B$18:$B$31,MATCH(MOD(5+$A14,MIN(Setup!$B$5,9))+1,Setup!$J$18:$J$31,0)))</f>
        <v>Player 1</v>
      </c>
      <c r="U14" s="18" t="str">
        <f>IF(6&gt;MIN(Setup!$B$5,9),"",INDEX(Setup!$B$18:$B$31,MATCH(MOD(6+$A14,MIN(Setup!$B$5,9))+1,Setup!$J$18:$J$31,0)))</f>
        <v>Player 2</v>
      </c>
      <c r="V14" s="18" t="str">
        <f>IF(7&gt;MIN(Setup!$B$5,9),"",INDEX(Setup!$B$18:$B$31,MATCH(MOD(7+$A14,MIN(Setup!$B$5,9))+1,Setup!$J$18:$J$31,0)))</f>
        <v>Player 3</v>
      </c>
      <c r="W14" s="18" t="str">
        <f>IF(8&gt;MIN(Setup!$B$5,9),"",INDEX(Setup!$B$18:$B$31,MATCH(MOD(8+$A14,MIN(Setup!$B$5,9))+1,Setup!$J$18:$J$31,0)))</f>
        <v/>
      </c>
      <c r="X14" s="18" t="str">
        <f>IF(9&gt;MIN(Setup!$B$5,9),"",INDEX(Setup!$B$18:$B$31,MATCH(MOD(9+$A14,MIN(Setup!$B$5,9))+1,Setup!$J$18:$J$31,0)))</f>
        <v/>
      </c>
    </row>
    <row r="15" spans="1:24" ht="15" customHeight="1">
      <c r="A15" s="18">
        <v>10</v>
      </c>
      <c r="B15" s="18"/>
      <c r="C15" s="18"/>
      <c r="D15" s="18" t="str">
        <f>IFERROR(INDEX(Setup!$B$18:$B$31,MATCH(MOD($A15-1,Setup!$I$16)+1,Setup!$I$18:$I$31,0)),"")</f>
        <v>Player 3</v>
      </c>
      <c r="E15" s="18" t="str">
        <f>IFERROR(INDEX(Setup!$B$18:$B$31,MATCH(MOD($A15,Setup!$I$16)+1,Setup!$I$18:$I$31,0)),"")</f>
        <v>Player 4</v>
      </c>
      <c r="F15" s="18" t="str">
        <f>IF(Setup!$I$16&gt;=2,"OK","Pick two eligible keepers")</f>
        <v>OK</v>
      </c>
      <c r="G15" s="18" t="str">
        <f>IF(1&gt;MIN(Setup!$B$5,9),"",INDEX(Setup!$B$18:$B$31,MATCH(MOD(MIN(Setup!$B$5,9)-1+1+$A15,MIN(Setup!$B$5,9))+1,Setup!$J$18:$J$31,0)))</f>
        <v>Player 4</v>
      </c>
      <c r="H15" s="18" t="str">
        <f>IF(2&gt;MIN(Setup!$B$5,9),"",INDEX(Setup!$B$18:$B$31,MATCH(MOD(MIN(Setup!$B$5,9)-2+1+$A15,MIN(Setup!$B$5,9))+1,Setup!$J$18:$J$31,0)))</f>
        <v>Player 3</v>
      </c>
      <c r="I15" s="18" t="str">
        <f>IF(3&gt;MIN(Setup!$B$5,9),"",INDEX(Setup!$B$18:$B$31,MATCH(MOD(MIN(Setup!$B$5,9)-3+1+$A15,MIN(Setup!$B$5,9))+1,Setup!$J$18:$J$31,0)))</f>
        <v>Player 2</v>
      </c>
      <c r="J15" s="18" t="str">
        <f>IF(4&gt;MIN(Setup!$B$5,9),"",INDEX(Setup!$B$18:$B$31,MATCH(MOD(MIN(Setup!$B$5,9)-4+1+$A15,MIN(Setup!$B$5,9))+1,Setup!$J$18:$J$31,0)))</f>
        <v>Player 1</v>
      </c>
      <c r="K15" s="18" t="str">
        <f>IF(5&gt;MIN(Setup!$B$5,9),"",INDEX(Setup!$B$18:$B$31,MATCH(MOD(MIN(Setup!$B$5,9)-5+1+$A15,MIN(Setup!$B$5,9))+1,Setup!$J$18:$J$31,0)))</f>
        <v>Player 7</v>
      </c>
      <c r="L15" s="18" t="str">
        <f>IF(6&gt;MIN(Setup!$B$5,9),"",INDEX(Setup!$B$18:$B$31,MATCH(MOD(MIN(Setup!$B$5,9)-6+1+$A15,MIN(Setup!$B$5,9))+1,Setup!$J$18:$J$31,0)))</f>
        <v>Player 6</v>
      </c>
      <c r="M15" s="18" t="str">
        <f>IF(7&gt;MIN(Setup!$B$5,9),"",INDEX(Setup!$B$18:$B$31,MATCH(MOD(MIN(Setup!$B$5,9)-7+1+$A15,MIN(Setup!$B$5,9))+1,Setup!$J$18:$J$31,0)))</f>
        <v>Player 5</v>
      </c>
      <c r="N15" s="18" t="str">
        <f>IF(8&gt;MIN(Setup!$B$5,9),"",INDEX(Setup!$B$18:$B$31,MATCH(MOD(MIN(Setup!$B$5,9)-8+1+$A15,MIN(Setup!$B$5,9))+1,Setup!$J$18:$J$31,0)))</f>
        <v/>
      </c>
      <c r="O15" s="18" t="str">
        <f>IF(9&gt;MIN(Setup!$B$5,9),"",INDEX(Setup!$B$18:$B$31,MATCH(MOD(MIN(Setup!$B$5,9)-9+1+$A15,MIN(Setup!$B$5,9))+1,Setup!$J$18:$J$31,0)))</f>
        <v/>
      </c>
      <c r="P15" s="18" t="str">
        <f>IF(1&gt;MIN(Setup!$B$5,9),"",INDEX(Setup!$B$18:$B$31,MATCH(MOD(1+$A15,MIN(Setup!$B$5,9))+1,Setup!$J$18:$J$31,0)))</f>
        <v>Player 5</v>
      </c>
      <c r="Q15" s="18" t="str">
        <f>IF(2&gt;MIN(Setup!$B$5,9),"",INDEX(Setup!$B$18:$B$31,MATCH(MOD(2+$A15,MIN(Setup!$B$5,9))+1,Setup!$J$18:$J$31,0)))</f>
        <v>Player 6</v>
      </c>
      <c r="R15" s="18" t="str">
        <f>IF(3&gt;MIN(Setup!$B$5,9),"",INDEX(Setup!$B$18:$B$31,MATCH(MOD(3+$A15,MIN(Setup!$B$5,9))+1,Setup!$J$18:$J$31,0)))</f>
        <v>Player 7</v>
      </c>
      <c r="S15" s="18" t="str">
        <f>IF(4&gt;MIN(Setup!$B$5,9),"",INDEX(Setup!$B$18:$B$31,MATCH(MOD(4+$A15,MIN(Setup!$B$5,9))+1,Setup!$J$18:$J$31,0)))</f>
        <v>Player 1</v>
      </c>
      <c r="T15" s="18" t="str">
        <f>IF(5&gt;MIN(Setup!$B$5,9),"",INDEX(Setup!$B$18:$B$31,MATCH(MOD(5+$A15,MIN(Setup!$B$5,9))+1,Setup!$J$18:$J$31,0)))</f>
        <v>Player 2</v>
      </c>
      <c r="U15" s="18" t="str">
        <f>IF(6&gt;MIN(Setup!$B$5,9),"",INDEX(Setup!$B$18:$B$31,MATCH(MOD(6+$A15,MIN(Setup!$B$5,9))+1,Setup!$J$18:$J$31,0)))</f>
        <v>Player 3</v>
      </c>
      <c r="V15" s="18" t="str">
        <f>IF(7&gt;MIN(Setup!$B$5,9),"",INDEX(Setup!$B$18:$B$31,MATCH(MOD(7+$A15,MIN(Setup!$B$5,9))+1,Setup!$J$18:$J$31,0)))</f>
        <v>Player 4</v>
      </c>
      <c r="W15" s="18" t="str">
        <f>IF(8&gt;MIN(Setup!$B$5,9),"",INDEX(Setup!$B$18:$B$31,MATCH(MOD(8+$A15,MIN(Setup!$B$5,9))+1,Setup!$J$18:$J$31,0)))</f>
        <v/>
      </c>
      <c r="X15" s="18" t="str">
        <f>IF(9&gt;MIN(Setup!$B$5,9),"",INDEX(Setup!$B$18:$B$31,MATCH(MOD(9+$A15,MIN(Setup!$B$5,9))+1,Setup!$J$18:$J$31,0)))</f>
        <v/>
      </c>
    </row>
    <row r="16" spans="1:24" ht="15" customHeight="1">
      <c r="A16" s="18">
        <v>11</v>
      </c>
      <c r="B16" s="18"/>
      <c r="C16" s="18"/>
      <c r="D16" s="18" t="str">
        <f>IFERROR(INDEX(Setup!$B$18:$B$31,MATCH(MOD($A16-1,Setup!$I$16)+1,Setup!$I$18:$I$31,0)),"")</f>
        <v>Player 4</v>
      </c>
      <c r="E16" s="18" t="str">
        <f>IFERROR(INDEX(Setup!$B$18:$B$31,MATCH(MOD($A16,Setup!$I$16)+1,Setup!$I$18:$I$31,0)),"")</f>
        <v>Player 5</v>
      </c>
      <c r="F16" s="18" t="str">
        <f>IF(Setup!$I$16&gt;=2,"OK","Pick two eligible keepers")</f>
        <v>OK</v>
      </c>
      <c r="G16" s="18" t="str">
        <f>IF(1&gt;MIN(Setup!$B$5,9),"",INDEX(Setup!$B$18:$B$31,MATCH(MOD(MIN(Setup!$B$5,9)-1+1+$A16,MIN(Setup!$B$5,9))+1,Setup!$J$18:$J$31,0)))</f>
        <v>Player 5</v>
      </c>
      <c r="H16" s="18" t="str">
        <f>IF(2&gt;MIN(Setup!$B$5,9),"",INDEX(Setup!$B$18:$B$31,MATCH(MOD(MIN(Setup!$B$5,9)-2+1+$A16,MIN(Setup!$B$5,9))+1,Setup!$J$18:$J$31,0)))</f>
        <v>Player 4</v>
      </c>
      <c r="I16" s="18" t="str">
        <f>IF(3&gt;MIN(Setup!$B$5,9),"",INDEX(Setup!$B$18:$B$31,MATCH(MOD(MIN(Setup!$B$5,9)-3+1+$A16,MIN(Setup!$B$5,9))+1,Setup!$J$18:$J$31,0)))</f>
        <v>Player 3</v>
      </c>
      <c r="J16" s="18" t="str">
        <f>IF(4&gt;MIN(Setup!$B$5,9),"",INDEX(Setup!$B$18:$B$31,MATCH(MOD(MIN(Setup!$B$5,9)-4+1+$A16,MIN(Setup!$B$5,9))+1,Setup!$J$18:$J$31,0)))</f>
        <v>Player 2</v>
      </c>
      <c r="K16" s="18" t="str">
        <f>IF(5&gt;MIN(Setup!$B$5,9),"",INDEX(Setup!$B$18:$B$31,MATCH(MOD(MIN(Setup!$B$5,9)-5+1+$A16,MIN(Setup!$B$5,9))+1,Setup!$J$18:$J$31,0)))</f>
        <v>Player 1</v>
      </c>
      <c r="L16" s="18" t="str">
        <f>IF(6&gt;MIN(Setup!$B$5,9),"",INDEX(Setup!$B$18:$B$31,MATCH(MOD(MIN(Setup!$B$5,9)-6+1+$A16,MIN(Setup!$B$5,9))+1,Setup!$J$18:$J$31,0)))</f>
        <v>Player 7</v>
      </c>
      <c r="M16" s="18" t="str">
        <f>IF(7&gt;MIN(Setup!$B$5,9),"",INDEX(Setup!$B$18:$B$31,MATCH(MOD(MIN(Setup!$B$5,9)-7+1+$A16,MIN(Setup!$B$5,9))+1,Setup!$J$18:$J$31,0)))</f>
        <v>Player 6</v>
      </c>
      <c r="N16" s="18" t="str">
        <f>IF(8&gt;MIN(Setup!$B$5,9),"",INDEX(Setup!$B$18:$B$31,MATCH(MOD(MIN(Setup!$B$5,9)-8+1+$A16,MIN(Setup!$B$5,9))+1,Setup!$J$18:$J$31,0)))</f>
        <v/>
      </c>
      <c r="O16" s="18" t="str">
        <f>IF(9&gt;MIN(Setup!$B$5,9),"",INDEX(Setup!$B$18:$B$31,MATCH(MOD(MIN(Setup!$B$5,9)-9+1+$A16,MIN(Setup!$B$5,9))+1,Setup!$J$18:$J$31,0)))</f>
        <v/>
      </c>
      <c r="P16" s="18" t="str">
        <f>IF(1&gt;MIN(Setup!$B$5,9),"",INDEX(Setup!$B$18:$B$31,MATCH(MOD(1+$A16,MIN(Setup!$B$5,9))+1,Setup!$J$18:$J$31,0)))</f>
        <v>Player 6</v>
      </c>
      <c r="Q16" s="18" t="str">
        <f>IF(2&gt;MIN(Setup!$B$5,9),"",INDEX(Setup!$B$18:$B$31,MATCH(MOD(2+$A16,MIN(Setup!$B$5,9))+1,Setup!$J$18:$J$31,0)))</f>
        <v>Player 7</v>
      </c>
      <c r="R16" s="18" t="str">
        <f>IF(3&gt;MIN(Setup!$B$5,9),"",INDEX(Setup!$B$18:$B$31,MATCH(MOD(3+$A16,MIN(Setup!$B$5,9))+1,Setup!$J$18:$J$31,0)))</f>
        <v>Player 1</v>
      </c>
      <c r="S16" s="18" t="str">
        <f>IF(4&gt;MIN(Setup!$B$5,9),"",INDEX(Setup!$B$18:$B$31,MATCH(MOD(4+$A16,MIN(Setup!$B$5,9))+1,Setup!$J$18:$J$31,0)))</f>
        <v>Player 2</v>
      </c>
      <c r="T16" s="18" t="str">
        <f>IF(5&gt;MIN(Setup!$B$5,9),"",INDEX(Setup!$B$18:$B$31,MATCH(MOD(5+$A16,MIN(Setup!$B$5,9))+1,Setup!$J$18:$J$31,0)))</f>
        <v>Player 3</v>
      </c>
      <c r="U16" s="18" t="str">
        <f>IF(6&gt;MIN(Setup!$B$5,9),"",INDEX(Setup!$B$18:$B$31,MATCH(MOD(6+$A16,MIN(Setup!$B$5,9))+1,Setup!$J$18:$J$31,0)))</f>
        <v>Player 4</v>
      </c>
      <c r="V16" s="18" t="str">
        <f>IF(7&gt;MIN(Setup!$B$5,9),"",INDEX(Setup!$B$18:$B$31,MATCH(MOD(7+$A16,MIN(Setup!$B$5,9))+1,Setup!$J$18:$J$31,0)))</f>
        <v>Player 5</v>
      </c>
      <c r="W16" s="18" t="str">
        <f>IF(8&gt;MIN(Setup!$B$5,9),"",INDEX(Setup!$B$18:$B$31,MATCH(MOD(8+$A16,MIN(Setup!$B$5,9))+1,Setup!$J$18:$J$31,0)))</f>
        <v/>
      </c>
      <c r="X16" s="18" t="str">
        <f>IF(9&gt;MIN(Setup!$B$5,9),"",INDEX(Setup!$B$18:$B$31,MATCH(MOD(9+$A16,MIN(Setup!$B$5,9))+1,Setup!$J$18:$J$31,0)))</f>
        <v/>
      </c>
    </row>
    <row r="17" spans="1:24" ht="15" customHeight="1">
      <c r="A17" s="18">
        <v>12</v>
      </c>
      <c r="B17" s="18"/>
      <c r="C17" s="18"/>
      <c r="D17" s="18" t="str">
        <f>IFERROR(INDEX(Setup!$B$18:$B$31,MATCH(MOD($A17-1,Setup!$I$16)+1,Setup!$I$18:$I$31,0)),"")</f>
        <v>Player 5</v>
      </c>
      <c r="E17" s="18" t="str">
        <f>IFERROR(INDEX(Setup!$B$18:$B$31,MATCH(MOD($A17,Setup!$I$16)+1,Setup!$I$18:$I$31,0)),"")</f>
        <v>Player 6</v>
      </c>
      <c r="F17" s="18" t="str">
        <f>IF(Setup!$I$16&gt;=2,"OK","Pick two eligible keepers")</f>
        <v>OK</v>
      </c>
      <c r="G17" s="18" t="str">
        <f>IF(1&gt;MIN(Setup!$B$5,9),"",INDEX(Setup!$B$18:$B$31,MATCH(MOD(MIN(Setup!$B$5,9)-1+1+$A17,MIN(Setup!$B$5,9))+1,Setup!$J$18:$J$31,0)))</f>
        <v>Player 6</v>
      </c>
      <c r="H17" s="18" t="str">
        <f>IF(2&gt;MIN(Setup!$B$5,9),"",INDEX(Setup!$B$18:$B$31,MATCH(MOD(MIN(Setup!$B$5,9)-2+1+$A17,MIN(Setup!$B$5,9))+1,Setup!$J$18:$J$31,0)))</f>
        <v>Player 5</v>
      </c>
      <c r="I17" s="18" t="str">
        <f>IF(3&gt;MIN(Setup!$B$5,9),"",INDEX(Setup!$B$18:$B$31,MATCH(MOD(MIN(Setup!$B$5,9)-3+1+$A17,MIN(Setup!$B$5,9))+1,Setup!$J$18:$J$31,0)))</f>
        <v>Player 4</v>
      </c>
      <c r="J17" s="18" t="str">
        <f>IF(4&gt;MIN(Setup!$B$5,9),"",INDEX(Setup!$B$18:$B$31,MATCH(MOD(MIN(Setup!$B$5,9)-4+1+$A17,MIN(Setup!$B$5,9))+1,Setup!$J$18:$J$31,0)))</f>
        <v>Player 3</v>
      </c>
      <c r="K17" s="18" t="str">
        <f>IF(5&gt;MIN(Setup!$B$5,9),"",INDEX(Setup!$B$18:$B$31,MATCH(MOD(MIN(Setup!$B$5,9)-5+1+$A17,MIN(Setup!$B$5,9))+1,Setup!$J$18:$J$31,0)))</f>
        <v>Player 2</v>
      </c>
      <c r="L17" s="18" t="str">
        <f>IF(6&gt;MIN(Setup!$B$5,9),"",INDEX(Setup!$B$18:$B$31,MATCH(MOD(MIN(Setup!$B$5,9)-6+1+$A17,MIN(Setup!$B$5,9))+1,Setup!$J$18:$J$31,0)))</f>
        <v>Player 1</v>
      </c>
      <c r="M17" s="18" t="str">
        <f>IF(7&gt;MIN(Setup!$B$5,9),"",INDEX(Setup!$B$18:$B$31,MATCH(MOD(MIN(Setup!$B$5,9)-7+1+$A17,MIN(Setup!$B$5,9))+1,Setup!$J$18:$J$31,0)))</f>
        <v>Player 7</v>
      </c>
      <c r="N17" s="18" t="str">
        <f>IF(8&gt;MIN(Setup!$B$5,9),"",INDEX(Setup!$B$18:$B$31,MATCH(MOD(MIN(Setup!$B$5,9)-8+1+$A17,MIN(Setup!$B$5,9))+1,Setup!$J$18:$J$31,0)))</f>
        <v/>
      </c>
      <c r="O17" s="18" t="str">
        <f>IF(9&gt;MIN(Setup!$B$5,9),"",INDEX(Setup!$B$18:$B$31,MATCH(MOD(MIN(Setup!$B$5,9)-9+1+$A17,MIN(Setup!$B$5,9))+1,Setup!$J$18:$J$31,0)))</f>
        <v/>
      </c>
      <c r="P17" s="18" t="str">
        <f>IF(1&gt;MIN(Setup!$B$5,9),"",INDEX(Setup!$B$18:$B$31,MATCH(MOD(1+$A17,MIN(Setup!$B$5,9))+1,Setup!$J$18:$J$31,0)))</f>
        <v>Player 7</v>
      </c>
      <c r="Q17" s="18" t="str">
        <f>IF(2&gt;MIN(Setup!$B$5,9),"",INDEX(Setup!$B$18:$B$31,MATCH(MOD(2+$A17,MIN(Setup!$B$5,9))+1,Setup!$J$18:$J$31,0)))</f>
        <v>Player 1</v>
      </c>
      <c r="R17" s="18" t="str">
        <f>IF(3&gt;MIN(Setup!$B$5,9),"",INDEX(Setup!$B$18:$B$31,MATCH(MOD(3+$A17,MIN(Setup!$B$5,9))+1,Setup!$J$18:$J$31,0)))</f>
        <v>Player 2</v>
      </c>
      <c r="S17" s="18" t="str">
        <f>IF(4&gt;MIN(Setup!$B$5,9),"",INDEX(Setup!$B$18:$B$31,MATCH(MOD(4+$A17,MIN(Setup!$B$5,9))+1,Setup!$J$18:$J$31,0)))</f>
        <v>Player 3</v>
      </c>
      <c r="T17" s="18" t="str">
        <f>IF(5&gt;MIN(Setup!$B$5,9),"",INDEX(Setup!$B$18:$B$31,MATCH(MOD(5+$A17,MIN(Setup!$B$5,9))+1,Setup!$J$18:$J$31,0)))</f>
        <v>Player 4</v>
      </c>
      <c r="U17" s="18" t="str">
        <f>IF(6&gt;MIN(Setup!$B$5,9),"",INDEX(Setup!$B$18:$B$31,MATCH(MOD(6+$A17,MIN(Setup!$B$5,9))+1,Setup!$J$18:$J$31,0)))</f>
        <v>Player 5</v>
      </c>
      <c r="V17" s="18" t="str">
        <f>IF(7&gt;MIN(Setup!$B$5,9),"",INDEX(Setup!$B$18:$B$31,MATCH(MOD(7+$A17,MIN(Setup!$B$5,9))+1,Setup!$J$18:$J$31,0)))</f>
        <v>Player 6</v>
      </c>
      <c r="W17" s="18" t="str">
        <f>IF(8&gt;MIN(Setup!$B$5,9),"",INDEX(Setup!$B$18:$B$31,MATCH(MOD(8+$A17,MIN(Setup!$B$5,9))+1,Setup!$J$18:$J$31,0)))</f>
        <v/>
      </c>
      <c r="X17" s="18" t="str">
        <f>IF(9&gt;MIN(Setup!$B$5,9),"",INDEX(Setup!$B$18:$B$31,MATCH(MOD(9+$A17,MIN(Setup!$B$5,9))+1,Setup!$J$18:$J$31,0)))</f>
        <v/>
      </c>
    </row>
    <row r="18" spans="1:24" ht="15" customHeight="1">
      <c r="A18" s="18">
        <v>13</v>
      </c>
      <c r="B18" s="18"/>
      <c r="C18" s="18"/>
      <c r="D18" s="18" t="str">
        <f>IFERROR(INDEX(Setup!$B$18:$B$31,MATCH(MOD($A18-1,Setup!$I$16)+1,Setup!$I$18:$I$31,0)),"")</f>
        <v>Player 6</v>
      </c>
      <c r="E18" s="18" t="str">
        <f>IFERROR(INDEX(Setup!$B$18:$B$31,MATCH(MOD($A18,Setup!$I$16)+1,Setup!$I$18:$I$31,0)),"")</f>
        <v>Player 7</v>
      </c>
      <c r="F18" s="18" t="str">
        <f>IF(Setup!$I$16&gt;=2,"OK","Pick two eligible keepers")</f>
        <v>OK</v>
      </c>
      <c r="G18" s="18" t="str">
        <f>IF(1&gt;MIN(Setup!$B$5,9),"",INDEX(Setup!$B$18:$B$31,MATCH(MOD(MIN(Setup!$B$5,9)-1+1+$A18,MIN(Setup!$B$5,9))+1,Setup!$J$18:$J$31,0)))</f>
        <v>Player 7</v>
      </c>
      <c r="H18" s="18" t="str">
        <f>IF(2&gt;MIN(Setup!$B$5,9),"",INDEX(Setup!$B$18:$B$31,MATCH(MOD(MIN(Setup!$B$5,9)-2+1+$A18,MIN(Setup!$B$5,9))+1,Setup!$J$18:$J$31,0)))</f>
        <v>Player 6</v>
      </c>
      <c r="I18" s="18" t="str">
        <f>IF(3&gt;MIN(Setup!$B$5,9),"",INDEX(Setup!$B$18:$B$31,MATCH(MOD(MIN(Setup!$B$5,9)-3+1+$A18,MIN(Setup!$B$5,9))+1,Setup!$J$18:$J$31,0)))</f>
        <v>Player 5</v>
      </c>
      <c r="J18" s="18" t="str">
        <f>IF(4&gt;MIN(Setup!$B$5,9),"",INDEX(Setup!$B$18:$B$31,MATCH(MOD(MIN(Setup!$B$5,9)-4+1+$A18,MIN(Setup!$B$5,9))+1,Setup!$J$18:$J$31,0)))</f>
        <v>Player 4</v>
      </c>
      <c r="K18" s="18" t="str">
        <f>IF(5&gt;MIN(Setup!$B$5,9),"",INDEX(Setup!$B$18:$B$31,MATCH(MOD(MIN(Setup!$B$5,9)-5+1+$A18,MIN(Setup!$B$5,9))+1,Setup!$J$18:$J$31,0)))</f>
        <v>Player 3</v>
      </c>
      <c r="L18" s="18" t="str">
        <f>IF(6&gt;MIN(Setup!$B$5,9),"",INDEX(Setup!$B$18:$B$31,MATCH(MOD(MIN(Setup!$B$5,9)-6+1+$A18,MIN(Setup!$B$5,9))+1,Setup!$J$18:$J$31,0)))</f>
        <v>Player 2</v>
      </c>
      <c r="M18" s="18" t="str">
        <f>IF(7&gt;MIN(Setup!$B$5,9),"",INDEX(Setup!$B$18:$B$31,MATCH(MOD(MIN(Setup!$B$5,9)-7+1+$A18,MIN(Setup!$B$5,9))+1,Setup!$J$18:$J$31,0)))</f>
        <v>Player 1</v>
      </c>
      <c r="N18" s="18" t="str">
        <f>IF(8&gt;MIN(Setup!$B$5,9),"",INDEX(Setup!$B$18:$B$31,MATCH(MOD(MIN(Setup!$B$5,9)-8+1+$A18,MIN(Setup!$B$5,9))+1,Setup!$J$18:$J$31,0)))</f>
        <v/>
      </c>
      <c r="O18" s="18" t="str">
        <f>IF(9&gt;MIN(Setup!$B$5,9),"",INDEX(Setup!$B$18:$B$31,MATCH(MOD(MIN(Setup!$B$5,9)-9+1+$A18,MIN(Setup!$B$5,9))+1,Setup!$J$18:$J$31,0)))</f>
        <v/>
      </c>
      <c r="P18" s="18" t="str">
        <f>IF(1&gt;MIN(Setup!$B$5,9),"",INDEX(Setup!$B$18:$B$31,MATCH(MOD(1+$A18,MIN(Setup!$B$5,9))+1,Setup!$J$18:$J$31,0)))</f>
        <v>Player 1</v>
      </c>
      <c r="Q18" s="18" t="str">
        <f>IF(2&gt;MIN(Setup!$B$5,9),"",INDEX(Setup!$B$18:$B$31,MATCH(MOD(2+$A18,MIN(Setup!$B$5,9))+1,Setup!$J$18:$J$31,0)))</f>
        <v>Player 2</v>
      </c>
      <c r="R18" s="18" t="str">
        <f>IF(3&gt;MIN(Setup!$B$5,9),"",INDEX(Setup!$B$18:$B$31,MATCH(MOD(3+$A18,MIN(Setup!$B$5,9))+1,Setup!$J$18:$J$31,0)))</f>
        <v>Player 3</v>
      </c>
      <c r="S18" s="18" t="str">
        <f>IF(4&gt;MIN(Setup!$B$5,9),"",INDEX(Setup!$B$18:$B$31,MATCH(MOD(4+$A18,MIN(Setup!$B$5,9))+1,Setup!$J$18:$J$31,0)))</f>
        <v>Player 4</v>
      </c>
      <c r="T18" s="18" t="str">
        <f>IF(5&gt;MIN(Setup!$B$5,9),"",INDEX(Setup!$B$18:$B$31,MATCH(MOD(5+$A18,MIN(Setup!$B$5,9))+1,Setup!$J$18:$J$31,0)))</f>
        <v>Player 5</v>
      </c>
      <c r="U18" s="18" t="str">
        <f>IF(6&gt;MIN(Setup!$B$5,9),"",INDEX(Setup!$B$18:$B$31,MATCH(MOD(6+$A18,MIN(Setup!$B$5,9))+1,Setup!$J$18:$J$31,0)))</f>
        <v>Player 6</v>
      </c>
      <c r="V18" s="18" t="str">
        <f>IF(7&gt;MIN(Setup!$B$5,9),"",INDEX(Setup!$B$18:$B$31,MATCH(MOD(7+$A18,MIN(Setup!$B$5,9))+1,Setup!$J$18:$J$31,0)))</f>
        <v>Player 7</v>
      </c>
      <c r="W18" s="18" t="str">
        <f>IF(8&gt;MIN(Setup!$B$5,9),"",INDEX(Setup!$B$18:$B$31,MATCH(MOD(8+$A18,MIN(Setup!$B$5,9))+1,Setup!$J$18:$J$31,0)))</f>
        <v/>
      </c>
      <c r="X18" s="18" t="str">
        <f>IF(9&gt;MIN(Setup!$B$5,9),"",INDEX(Setup!$B$18:$B$31,MATCH(MOD(9+$A18,MIN(Setup!$B$5,9))+1,Setup!$J$18:$J$31,0)))</f>
        <v/>
      </c>
    </row>
    <row r="19" spans="1:24" ht="15" customHeight="1">
      <c r="A19" s="18">
        <v>14</v>
      </c>
      <c r="B19" s="18"/>
      <c r="C19" s="18"/>
      <c r="D19" s="18" t="str">
        <f>IFERROR(INDEX(Setup!$B$18:$B$31,MATCH(MOD($A19-1,Setup!$I$16)+1,Setup!$I$18:$I$31,0)),"")</f>
        <v>Player 7</v>
      </c>
      <c r="E19" s="18" t="str">
        <f>IFERROR(INDEX(Setup!$B$18:$B$31,MATCH(MOD($A19,Setup!$I$16)+1,Setup!$I$18:$I$31,0)),"")</f>
        <v>Player 1</v>
      </c>
      <c r="F19" s="18" t="str">
        <f>IF(Setup!$I$16&gt;=2,"OK","Pick two eligible keepers")</f>
        <v>OK</v>
      </c>
      <c r="G19" s="18" t="str">
        <f>IF(1&gt;MIN(Setup!$B$5,9),"",INDEX(Setup!$B$18:$B$31,MATCH(MOD(MIN(Setup!$B$5,9)-1+1+$A19,MIN(Setup!$B$5,9))+1,Setup!$J$18:$J$31,0)))</f>
        <v>Player 1</v>
      </c>
      <c r="H19" s="18" t="str">
        <f>IF(2&gt;MIN(Setup!$B$5,9),"",INDEX(Setup!$B$18:$B$31,MATCH(MOD(MIN(Setup!$B$5,9)-2+1+$A19,MIN(Setup!$B$5,9))+1,Setup!$J$18:$J$31,0)))</f>
        <v>Player 7</v>
      </c>
      <c r="I19" s="18" t="str">
        <f>IF(3&gt;MIN(Setup!$B$5,9),"",INDEX(Setup!$B$18:$B$31,MATCH(MOD(MIN(Setup!$B$5,9)-3+1+$A19,MIN(Setup!$B$5,9))+1,Setup!$J$18:$J$31,0)))</f>
        <v>Player 6</v>
      </c>
      <c r="J19" s="18" t="str">
        <f>IF(4&gt;MIN(Setup!$B$5,9),"",INDEX(Setup!$B$18:$B$31,MATCH(MOD(MIN(Setup!$B$5,9)-4+1+$A19,MIN(Setup!$B$5,9))+1,Setup!$J$18:$J$31,0)))</f>
        <v>Player 5</v>
      </c>
      <c r="K19" s="18" t="str">
        <f>IF(5&gt;MIN(Setup!$B$5,9),"",INDEX(Setup!$B$18:$B$31,MATCH(MOD(MIN(Setup!$B$5,9)-5+1+$A19,MIN(Setup!$B$5,9))+1,Setup!$J$18:$J$31,0)))</f>
        <v>Player 4</v>
      </c>
      <c r="L19" s="18" t="str">
        <f>IF(6&gt;MIN(Setup!$B$5,9),"",INDEX(Setup!$B$18:$B$31,MATCH(MOD(MIN(Setup!$B$5,9)-6+1+$A19,MIN(Setup!$B$5,9))+1,Setup!$J$18:$J$31,0)))</f>
        <v>Player 3</v>
      </c>
      <c r="M19" s="18" t="str">
        <f>IF(7&gt;MIN(Setup!$B$5,9),"",INDEX(Setup!$B$18:$B$31,MATCH(MOD(MIN(Setup!$B$5,9)-7+1+$A19,MIN(Setup!$B$5,9))+1,Setup!$J$18:$J$31,0)))</f>
        <v>Player 2</v>
      </c>
      <c r="N19" s="18" t="str">
        <f>IF(8&gt;MIN(Setup!$B$5,9),"",INDEX(Setup!$B$18:$B$31,MATCH(MOD(MIN(Setup!$B$5,9)-8+1+$A19,MIN(Setup!$B$5,9))+1,Setup!$J$18:$J$31,0)))</f>
        <v/>
      </c>
      <c r="O19" s="18" t="str">
        <f>IF(9&gt;MIN(Setup!$B$5,9),"",INDEX(Setup!$B$18:$B$31,MATCH(MOD(MIN(Setup!$B$5,9)-9+1+$A19,MIN(Setup!$B$5,9))+1,Setup!$J$18:$J$31,0)))</f>
        <v/>
      </c>
      <c r="P19" s="18" t="str">
        <f>IF(1&gt;MIN(Setup!$B$5,9),"",INDEX(Setup!$B$18:$B$31,MATCH(MOD(1+$A19,MIN(Setup!$B$5,9))+1,Setup!$J$18:$J$31,0)))</f>
        <v>Player 2</v>
      </c>
      <c r="Q19" s="18" t="str">
        <f>IF(2&gt;MIN(Setup!$B$5,9),"",INDEX(Setup!$B$18:$B$31,MATCH(MOD(2+$A19,MIN(Setup!$B$5,9))+1,Setup!$J$18:$J$31,0)))</f>
        <v>Player 3</v>
      </c>
      <c r="R19" s="18" t="str">
        <f>IF(3&gt;MIN(Setup!$B$5,9),"",INDEX(Setup!$B$18:$B$31,MATCH(MOD(3+$A19,MIN(Setup!$B$5,9))+1,Setup!$J$18:$J$31,0)))</f>
        <v>Player 4</v>
      </c>
      <c r="S19" s="18" t="str">
        <f>IF(4&gt;MIN(Setup!$B$5,9),"",INDEX(Setup!$B$18:$B$31,MATCH(MOD(4+$A19,MIN(Setup!$B$5,9))+1,Setup!$J$18:$J$31,0)))</f>
        <v>Player 5</v>
      </c>
      <c r="T19" s="18" t="str">
        <f>IF(5&gt;MIN(Setup!$B$5,9),"",INDEX(Setup!$B$18:$B$31,MATCH(MOD(5+$A19,MIN(Setup!$B$5,9))+1,Setup!$J$18:$J$31,0)))</f>
        <v>Player 6</v>
      </c>
      <c r="U19" s="18" t="str">
        <f>IF(6&gt;MIN(Setup!$B$5,9),"",INDEX(Setup!$B$18:$B$31,MATCH(MOD(6+$A19,MIN(Setup!$B$5,9))+1,Setup!$J$18:$J$31,0)))</f>
        <v>Player 7</v>
      </c>
      <c r="V19" s="18" t="str">
        <f>IF(7&gt;MIN(Setup!$B$5,9),"",INDEX(Setup!$B$18:$B$31,MATCH(MOD(7+$A19,MIN(Setup!$B$5,9))+1,Setup!$J$18:$J$31,0)))</f>
        <v>Player 1</v>
      </c>
      <c r="W19" s="18" t="str">
        <f>IF(8&gt;MIN(Setup!$B$5,9),"",INDEX(Setup!$B$18:$B$31,MATCH(MOD(8+$A19,MIN(Setup!$B$5,9))+1,Setup!$J$18:$J$31,0)))</f>
        <v/>
      </c>
      <c r="X19" s="18" t="str">
        <f>IF(9&gt;MIN(Setup!$B$5,9),"",INDEX(Setup!$B$18:$B$31,MATCH(MOD(9+$A19,MIN(Setup!$B$5,9))+1,Setup!$J$18:$J$31,0)))</f>
        <v/>
      </c>
    </row>
  </sheetData>
  <mergeCells count="4">
    <mergeCell ref="A1:X1"/>
    <mergeCell ref="A3:F3"/>
    <mergeCell ref="G3:O3"/>
    <mergeCell ref="P3:X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03"/>
  <sheetViews>
    <sheetView showGridLines="0" workbookViewId="0">
      <selection activeCell="G6" sqref="G6"/>
    </sheetView>
  </sheetViews>
  <sheetFormatPr defaultRowHeight="13.55"/>
  <cols>
    <col min="1" max="2" width="14" customWidth="1"/>
    <col min="3" max="3" width="22" customWidth="1"/>
    <col min="4" max="5" width="16" customWidth="1"/>
    <col min="6" max="6" width="14" customWidth="1"/>
    <col min="7" max="7" width="15.25" bestFit="1" customWidth="1"/>
  </cols>
  <sheetData>
    <row r="1" spans="1:7" ht="19.25" customHeight="1">
      <c r="A1" s="50" t="s">
        <v>187</v>
      </c>
      <c r="B1" s="50"/>
      <c r="C1" s="50"/>
      <c r="D1" s="50"/>
      <c r="E1" s="50"/>
      <c r="F1" s="50"/>
      <c r="G1" s="50"/>
    </row>
    <row r="3" spans="1:7" ht="15" customHeight="1">
      <c r="A3" s="71" t="s">
        <v>15</v>
      </c>
      <c r="B3" s="71" t="s">
        <v>19</v>
      </c>
      <c r="C3" s="71" t="s">
        <v>70</v>
      </c>
      <c r="D3" s="71" t="s">
        <v>188</v>
      </c>
      <c r="E3" s="71" t="s">
        <v>189</v>
      </c>
      <c r="F3" s="71" t="s">
        <v>190</v>
      </c>
      <c r="G3" s="71" t="s">
        <v>319</v>
      </c>
    </row>
    <row r="4" spans="1:7" ht="15" customHeight="1">
      <c r="A4" s="18">
        <v>1</v>
      </c>
      <c r="B4" s="18" t="s">
        <v>20</v>
      </c>
      <c r="C4" s="18"/>
      <c r="D4" s="18"/>
      <c r="E4" s="18"/>
      <c r="F4" s="18"/>
      <c r="G4" s="18" t="str">
        <f>IF(OR($A4="",$C4=""),"",IF($A4&lt;=Setup!$B$10,"Pre","Post"))</f>
        <v/>
      </c>
    </row>
    <row r="5" spans="1:7" ht="15" customHeight="1">
      <c r="A5" s="18">
        <v>1</v>
      </c>
      <c r="B5" s="18" t="s">
        <v>20</v>
      </c>
      <c r="C5" s="18"/>
      <c r="D5" s="18"/>
      <c r="E5" s="18"/>
      <c r="F5" s="18"/>
      <c r="G5" s="18" t="str">
        <f>IF(OR($A5="",$C5=""),"",IF($A5&lt;=Setup!$B$10,"Pre","Post"))</f>
        <v/>
      </c>
    </row>
    <row r="6" spans="1:7" ht="15" customHeight="1">
      <c r="A6" s="18">
        <v>1</v>
      </c>
      <c r="B6" s="18" t="s">
        <v>20</v>
      </c>
      <c r="C6" s="18"/>
      <c r="D6" s="18"/>
      <c r="E6" s="18"/>
      <c r="F6" s="18"/>
      <c r="G6" s="18" t="str">
        <f>IF(OR($A6="",$C6=""),"",IF($A6&lt;=Setup!$B$10,"Pre","Post"))</f>
        <v/>
      </c>
    </row>
    <row r="7" spans="1:7" ht="15" customHeight="1">
      <c r="A7" s="18">
        <v>1</v>
      </c>
      <c r="B7" s="18" t="s">
        <v>20</v>
      </c>
      <c r="C7" s="18"/>
      <c r="D7" s="18"/>
      <c r="E7" s="18"/>
      <c r="F7" s="18"/>
      <c r="G7" s="18" t="str">
        <f>IF(OR($A7="",$C7=""),"",IF($A7&lt;=Setup!$B$10,"Pre","Post"))</f>
        <v/>
      </c>
    </row>
    <row r="8" spans="1:7" ht="15" customHeight="1">
      <c r="A8" s="18">
        <v>1</v>
      </c>
      <c r="B8" s="18" t="s">
        <v>20</v>
      </c>
      <c r="C8" s="18"/>
      <c r="D8" s="18"/>
      <c r="E8" s="18"/>
      <c r="F8" s="18"/>
      <c r="G8" s="18" t="str">
        <f>IF(OR($A8="",$C8=""),"",IF($A8&lt;=Setup!$B$10,"Pre","Post"))</f>
        <v/>
      </c>
    </row>
    <row r="9" spans="1:7" ht="15" customHeight="1">
      <c r="A9" s="18">
        <v>1</v>
      </c>
      <c r="B9" s="18" t="s">
        <v>20</v>
      </c>
      <c r="C9" s="18"/>
      <c r="D9" s="18"/>
      <c r="E9" s="18"/>
      <c r="F9" s="18"/>
      <c r="G9" s="18" t="str">
        <f>IF(OR($A9="",$C9=""),"",IF($A9&lt;=Setup!$B$10,"Pre","Post"))</f>
        <v/>
      </c>
    </row>
    <row r="10" spans="1:7" ht="15" customHeight="1">
      <c r="A10" s="18">
        <v>1</v>
      </c>
      <c r="B10" s="18" t="s">
        <v>20</v>
      </c>
      <c r="C10" s="18"/>
      <c r="D10" s="18"/>
      <c r="E10" s="18"/>
      <c r="F10" s="18"/>
      <c r="G10" s="18" t="str">
        <f>IF(OR($A10="",$C10=""),"",IF($A10&lt;=Setup!$B$10,"Pre","Post"))</f>
        <v/>
      </c>
    </row>
    <row r="11" spans="1:7" ht="15" customHeight="1">
      <c r="A11" s="18">
        <v>1</v>
      </c>
      <c r="B11" s="18" t="s">
        <v>20</v>
      </c>
      <c r="C11" s="18"/>
      <c r="D11" s="18"/>
      <c r="E11" s="18"/>
      <c r="F11" s="18"/>
      <c r="G11" s="18" t="str">
        <f>IF(OR($A11="",$C11=""),"",IF($A11&lt;=Setup!$B$10,"Pre","Post"))</f>
        <v/>
      </c>
    </row>
    <row r="12" spans="1:7" ht="15" customHeight="1">
      <c r="A12" s="18">
        <v>1</v>
      </c>
      <c r="B12" s="18" t="s">
        <v>20</v>
      </c>
      <c r="C12" s="18"/>
      <c r="D12" s="18"/>
      <c r="E12" s="18"/>
      <c r="F12" s="18"/>
      <c r="G12" s="18" t="str">
        <f>IF(OR($A12="",$C12=""),"",IF($A12&lt;=Setup!$B$10,"Pre","Post"))</f>
        <v/>
      </c>
    </row>
    <row r="13" spans="1:7" ht="15" customHeight="1">
      <c r="A13" s="18">
        <v>1</v>
      </c>
      <c r="B13" s="18" t="s">
        <v>20</v>
      </c>
      <c r="C13" s="18"/>
      <c r="D13" s="18"/>
      <c r="E13" s="18"/>
      <c r="F13" s="18"/>
      <c r="G13" s="18" t="str">
        <f>IF(OR($A13="",$C13=""),"",IF($A13&lt;=Setup!$B$10,"Pre","Post"))</f>
        <v/>
      </c>
    </row>
    <row r="14" spans="1:7" ht="15" customHeight="1">
      <c r="A14" s="18">
        <v>1</v>
      </c>
      <c r="B14" s="18" t="s">
        <v>20</v>
      </c>
      <c r="C14" s="18"/>
      <c r="D14" s="18"/>
      <c r="E14" s="18"/>
      <c r="F14" s="18"/>
      <c r="G14" s="18" t="str">
        <f>IF(OR($A14="",$C14=""),"",IF($A14&lt;=Setup!$B$10,"Pre","Post"))</f>
        <v/>
      </c>
    </row>
    <row r="15" spans="1:7" ht="15" customHeight="1">
      <c r="A15" s="18">
        <v>1</v>
      </c>
      <c r="B15" s="18" t="s">
        <v>20</v>
      </c>
      <c r="C15" s="18"/>
      <c r="D15" s="18"/>
      <c r="E15" s="18"/>
      <c r="F15" s="18"/>
      <c r="G15" s="18" t="str">
        <f>IF(OR($A15="",$C15=""),"",IF($A15&lt;=Setup!$B$10,"Pre","Post"))</f>
        <v/>
      </c>
    </row>
    <row r="16" spans="1:7" ht="15" customHeight="1">
      <c r="A16" s="18">
        <v>1</v>
      </c>
      <c r="B16" s="18" t="s">
        <v>20</v>
      </c>
      <c r="C16" s="18"/>
      <c r="D16" s="18"/>
      <c r="E16" s="18"/>
      <c r="F16" s="18"/>
      <c r="G16" s="18" t="str">
        <f>IF(OR($A16="",$C16=""),"",IF($A16&lt;=Setup!$B$10,"Pre","Post"))</f>
        <v/>
      </c>
    </row>
    <row r="17" spans="1:7" ht="15" customHeight="1">
      <c r="A17" s="18">
        <v>2</v>
      </c>
      <c r="B17" s="18" t="s">
        <v>20</v>
      </c>
      <c r="C17" s="18"/>
      <c r="D17" s="18"/>
      <c r="E17" s="18"/>
      <c r="F17" s="18"/>
      <c r="G17" s="18" t="str">
        <f>IF(OR($A17="",$C17=""),"",IF($A17&lt;=Setup!$B$10,"Pre","Post"))</f>
        <v/>
      </c>
    </row>
    <row r="18" spans="1:7" ht="15" customHeight="1">
      <c r="A18" s="18">
        <v>2</v>
      </c>
      <c r="B18" s="18" t="s">
        <v>20</v>
      </c>
      <c r="C18" s="18"/>
      <c r="D18" s="18"/>
      <c r="E18" s="18"/>
      <c r="F18" s="18"/>
      <c r="G18" s="18" t="str">
        <f>IF(OR($A18="",$C18=""),"",IF($A18&lt;=Setup!$B$10,"Pre","Post"))</f>
        <v/>
      </c>
    </row>
    <row r="19" spans="1:7" ht="15" customHeight="1">
      <c r="A19" s="18">
        <v>2</v>
      </c>
      <c r="B19" s="18" t="s">
        <v>20</v>
      </c>
      <c r="C19" s="18"/>
      <c r="D19" s="18"/>
      <c r="E19" s="18"/>
      <c r="F19" s="18"/>
      <c r="G19" s="18" t="str">
        <f>IF(OR($A19="",$C19=""),"",IF($A19&lt;=Setup!$B$10,"Pre","Post"))</f>
        <v/>
      </c>
    </row>
    <row r="20" spans="1:7" ht="15" customHeight="1">
      <c r="A20" s="18">
        <v>2</v>
      </c>
      <c r="B20" s="18" t="s">
        <v>20</v>
      </c>
      <c r="C20" s="18"/>
      <c r="D20" s="18"/>
      <c r="E20" s="18"/>
      <c r="F20" s="18"/>
      <c r="G20" s="18" t="str">
        <f>IF(OR($A20="",$C20=""),"",IF($A20&lt;=Setup!$B$10,"Pre","Post"))</f>
        <v/>
      </c>
    </row>
    <row r="21" spans="1:7" ht="15" customHeight="1">
      <c r="A21" s="18">
        <v>2</v>
      </c>
      <c r="B21" s="18" t="s">
        <v>20</v>
      </c>
      <c r="C21" s="18"/>
      <c r="D21" s="18"/>
      <c r="E21" s="18"/>
      <c r="F21" s="18"/>
      <c r="G21" s="18" t="str">
        <f>IF(OR($A21="",$C21=""),"",IF($A21&lt;=Setup!$B$10,"Pre","Post"))</f>
        <v/>
      </c>
    </row>
    <row r="22" spans="1:7" ht="15" customHeight="1">
      <c r="A22" s="18">
        <v>2</v>
      </c>
      <c r="B22" s="18" t="s">
        <v>20</v>
      </c>
      <c r="C22" s="18"/>
      <c r="D22" s="18"/>
      <c r="E22" s="18"/>
      <c r="F22" s="18"/>
      <c r="G22" s="18" t="str">
        <f>IF(OR($A22="",$C22=""),"",IF($A22&lt;=Setup!$B$10,"Pre","Post"))</f>
        <v/>
      </c>
    </row>
    <row r="23" spans="1:7" ht="15" customHeight="1">
      <c r="A23" s="18">
        <v>2</v>
      </c>
      <c r="B23" s="18" t="s">
        <v>20</v>
      </c>
      <c r="C23" s="18"/>
      <c r="D23" s="18"/>
      <c r="E23" s="18"/>
      <c r="F23" s="18"/>
      <c r="G23" s="18" t="str">
        <f>IF(OR($A23="",$C23=""),"",IF($A23&lt;=Setup!$B$10,"Pre","Post"))</f>
        <v/>
      </c>
    </row>
    <row r="24" spans="1:7" ht="15" customHeight="1">
      <c r="A24" s="18">
        <v>2</v>
      </c>
      <c r="B24" s="18" t="s">
        <v>20</v>
      </c>
      <c r="C24" s="18"/>
      <c r="D24" s="18"/>
      <c r="E24" s="18"/>
      <c r="F24" s="18"/>
      <c r="G24" s="18" t="str">
        <f>IF(OR($A24="",$C24=""),"",IF($A24&lt;=Setup!$B$10,"Pre","Post"))</f>
        <v/>
      </c>
    </row>
    <row r="25" spans="1:7" ht="15" customHeight="1">
      <c r="A25" s="18">
        <v>2</v>
      </c>
      <c r="B25" s="18" t="s">
        <v>20</v>
      </c>
      <c r="C25" s="18"/>
      <c r="D25" s="18"/>
      <c r="E25" s="18"/>
      <c r="F25" s="18"/>
      <c r="G25" s="18" t="str">
        <f>IF(OR($A25="",$C25=""),"",IF($A25&lt;=Setup!$B$10,"Pre","Post"))</f>
        <v/>
      </c>
    </row>
    <row r="26" spans="1:7" ht="15" customHeight="1">
      <c r="A26" s="18">
        <v>2</v>
      </c>
      <c r="B26" s="18" t="s">
        <v>20</v>
      </c>
      <c r="C26" s="18"/>
      <c r="D26" s="18"/>
      <c r="E26" s="18"/>
      <c r="F26" s="18"/>
      <c r="G26" s="18" t="str">
        <f>IF(OR($A26="",$C26=""),"",IF($A26&lt;=Setup!$B$10,"Pre","Post"))</f>
        <v/>
      </c>
    </row>
    <row r="27" spans="1:7" ht="15" customHeight="1">
      <c r="A27" s="18">
        <v>2</v>
      </c>
      <c r="B27" s="18" t="s">
        <v>20</v>
      </c>
      <c r="C27" s="18"/>
      <c r="D27" s="18"/>
      <c r="E27" s="18"/>
      <c r="F27" s="18"/>
      <c r="G27" s="18" t="str">
        <f>IF(OR($A27="",$C27=""),"",IF($A27&lt;=Setup!$B$10,"Pre","Post"))</f>
        <v/>
      </c>
    </row>
    <row r="28" spans="1:7" ht="15" customHeight="1">
      <c r="A28" s="18">
        <v>2</v>
      </c>
      <c r="B28" s="18" t="s">
        <v>20</v>
      </c>
      <c r="C28" s="18"/>
      <c r="D28" s="18"/>
      <c r="E28" s="18"/>
      <c r="F28" s="18"/>
      <c r="G28" s="18" t="str">
        <f>IF(OR($A28="",$C28=""),"",IF($A28&lt;=Setup!$B$10,"Pre","Post"))</f>
        <v/>
      </c>
    </row>
    <row r="29" spans="1:7" ht="15" customHeight="1">
      <c r="A29" s="18">
        <v>2</v>
      </c>
      <c r="B29" s="18" t="s">
        <v>20</v>
      </c>
      <c r="C29" s="18"/>
      <c r="D29" s="18"/>
      <c r="E29" s="18"/>
      <c r="F29" s="18"/>
      <c r="G29" s="18" t="str">
        <f>IF(OR($A29="",$C29=""),"",IF($A29&lt;=Setup!$B$10,"Pre","Post"))</f>
        <v/>
      </c>
    </row>
    <row r="30" spans="1:7" ht="15" customHeight="1">
      <c r="A30" s="18">
        <v>3</v>
      </c>
      <c r="B30" s="18" t="s">
        <v>20</v>
      </c>
      <c r="C30" s="18"/>
      <c r="D30" s="18"/>
      <c r="E30" s="18"/>
      <c r="F30" s="18"/>
      <c r="G30" s="18" t="str">
        <f>IF(OR($A30="",$C30=""),"",IF($A30&lt;=Setup!$B$10,"Pre","Post"))</f>
        <v/>
      </c>
    </row>
    <row r="31" spans="1:7" ht="15" customHeight="1">
      <c r="A31" s="18">
        <v>3</v>
      </c>
      <c r="B31" s="18" t="s">
        <v>20</v>
      </c>
      <c r="C31" s="18"/>
      <c r="D31" s="18"/>
      <c r="E31" s="18"/>
      <c r="F31" s="18"/>
      <c r="G31" s="18" t="str">
        <f>IF(OR($A31="",$C31=""),"",IF($A31&lt;=Setup!$B$10,"Pre","Post"))</f>
        <v/>
      </c>
    </row>
    <row r="32" spans="1:7" ht="15" customHeight="1">
      <c r="A32" s="18">
        <v>3</v>
      </c>
      <c r="B32" s="18" t="s">
        <v>20</v>
      </c>
      <c r="C32" s="18"/>
      <c r="D32" s="18"/>
      <c r="E32" s="18"/>
      <c r="F32" s="18"/>
      <c r="G32" s="18" t="str">
        <f>IF(OR($A32="",$C32=""),"",IF($A32&lt;=Setup!$B$10,"Pre","Post"))</f>
        <v/>
      </c>
    </row>
    <row r="33" spans="1:7" ht="15" customHeight="1">
      <c r="A33" s="18">
        <v>3</v>
      </c>
      <c r="B33" s="18" t="s">
        <v>20</v>
      </c>
      <c r="C33" s="18"/>
      <c r="D33" s="18"/>
      <c r="E33" s="18"/>
      <c r="F33" s="18"/>
      <c r="G33" s="18" t="str">
        <f>IF(OR($A33="",$C33=""),"",IF($A33&lt;=Setup!$B$10,"Pre","Post"))</f>
        <v/>
      </c>
    </row>
    <row r="34" spans="1:7" ht="15" customHeight="1">
      <c r="A34" s="18">
        <v>3</v>
      </c>
      <c r="B34" s="18" t="s">
        <v>20</v>
      </c>
      <c r="C34" s="18"/>
      <c r="D34" s="18"/>
      <c r="E34" s="18"/>
      <c r="F34" s="18"/>
      <c r="G34" s="18" t="str">
        <f>IF(OR($A34="",$C34=""),"",IF($A34&lt;=Setup!$B$10,"Pre","Post"))</f>
        <v/>
      </c>
    </row>
    <row r="35" spans="1:7" ht="15" customHeight="1">
      <c r="A35" s="18">
        <v>3</v>
      </c>
      <c r="B35" s="18" t="s">
        <v>20</v>
      </c>
      <c r="C35" s="18"/>
      <c r="D35" s="18"/>
      <c r="E35" s="18"/>
      <c r="F35" s="18"/>
      <c r="G35" s="18" t="str">
        <f>IF(OR($A35="",$C35=""),"",IF($A35&lt;=Setup!$B$10,"Pre","Post"))</f>
        <v/>
      </c>
    </row>
    <row r="36" spans="1:7" ht="15" customHeight="1">
      <c r="A36" s="18">
        <v>3</v>
      </c>
      <c r="B36" s="18" t="s">
        <v>20</v>
      </c>
      <c r="C36" s="18"/>
      <c r="D36" s="18"/>
      <c r="E36" s="18"/>
      <c r="F36" s="18"/>
      <c r="G36" s="18" t="str">
        <f>IF(OR($A36="",$C36=""),"",IF($A36&lt;=Setup!$B$10,"Pre","Post"))</f>
        <v/>
      </c>
    </row>
    <row r="37" spans="1:7" ht="15" customHeight="1">
      <c r="A37" s="18">
        <v>3</v>
      </c>
      <c r="B37" s="18" t="s">
        <v>20</v>
      </c>
      <c r="C37" s="18"/>
      <c r="D37" s="18"/>
      <c r="E37" s="18"/>
      <c r="F37" s="18"/>
      <c r="G37" s="18" t="str">
        <f>IF(OR($A37="",$C37=""),"",IF($A37&lt;=Setup!$B$10,"Pre","Post"))</f>
        <v/>
      </c>
    </row>
    <row r="38" spans="1:7" ht="15" customHeight="1">
      <c r="A38" s="18">
        <v>3</v>
      </c>
      <c r="B38" s="18" t="s">
        <v>20</v>
      </c>
      <c r="C38" s="18"/>
      <c r="D38" s="18"/>
      <c r="E38" s="18"/>
      <c r="F38" s="18"/>
      <c r="G38" s="18" t="str">
        <f>IF(OR($A38="",$C38=""),"",IF($A38&lt;=Setup!$B$10,"Pre","Post"))</f>
        <v/>
      </c>
    </row>
    <row r="39" spans="1:7" ht="15" customHeight="1">
      <c r="A39" s="18">
        <v>3</v>
      </c>
      <c r="B39" s="18" t="s">
        <v>20</v>
      </c>
      <c r="C39" s="18"/>
      <c r="D39" s="18"/>
      <c r="E39" s="18"/>
      <c r="F39" s="18"/>
      <c r="G39" s="18" t="str">
        <f>IF(OR($A39="",$C39=""),"",IF($A39&lt;=Setup!$B$10,"Pre","Post"))</f>
        <v/>
      </c>
    </row>
    <row r="40" spans="1:7" ht="15" customHeight="1">
      <c r="A40" s="18">
        <v>3</v>
      </c>
      <c r="B40" s="18" t="s">
        <v>20</v>
      </c>
      <c r="C40" s="18"/>
      <c r="D40" s="18"/>
      <c r="E40" s="18"/>
      <c r="F40" s="18"/>
      <c r="G40" s="18" t="str">
        <f>IF(OR($A40="",$C40=""),"",IF($A40&lt;=Setup!$B$10,"Pre","Post"))</f>
        <v/>
      </c>
    </row>
    <row r="41" spans="1:7">
      <c r="A41" s="18">
        <v>3</v>
      </c>
      <c r="B41" s="18" t="s">
        <v>20</v>
      </c>
      <c r="C41" s="18"/>
      <c r="D41" s="18"/>
      <c r="E41" s="18"/>
      <c r="F41" s="18"/>
      <c r="G41" s="18" t="str">
        <f>IF(OR($A41="",$C41=""),"",IF($A41&lt;=Setup!$B$10,"Pre","Post"))</f>
        <v/>
      </c>
    </row>
    <row r="42" spans="1:7">
      <c r="A42" s="18">
        <v>3</v>
      </c>
      <c r="B42" s="18" t="s">
        <v>20</v>
      </c>
      <c r="C42" s="18"/>
      <c r="D42" s="18"/>
      <c r="E42" s="18"/>
      <c r="F42" s="18"/>
      <c r="G42" s="18" t="str">
        <f>IF(OR($A42="",$C42=""),"",IF($A42&lt;=Setup!$B$10,"Pre","Post"))</f>
        <v/>
      </c>
    </row>
    <row r="43" spans="1:7">
      <c r="A43" s="18">
        <v>4</v>
      </c>
      <c r="B43" s="18" t="s">
        <v>20</v>
      </c>
      <c r="C43" s="18"/>
      <c r="D43" s="18"/>
      <c r="E43" s="18"/>
      <c r="F43" s="18"/>
      <c r="G43" s="18" t="str">
        <f>IF(OR($A43="",$C43=""),"",IF($A43&lt;=Setup!$B$10,"Pre","Post"))</f>
        <v/>
      </c>
    </row>
    <row r="44" spans="1:7">
      <c r="A44" s="18">
        <v>4</v>
      </c>
      <c r="B44" s="18" t="s">
        <v>20</v>
      </c>
      <c r="C44" s="18"/>
      <c r="D44" s="18"/>
      <c r="E44" s="18"/>
      <c r="F44" s="18"/>
      <c r="G44" s="18" t="str">
        <f>IF(OR($A44="",$C44=""),"",IF($A44&lt;=Setup!$B$10,"Pre","Post"))</f>
        <v/>
      </c>
    </row>
    <row r="45" spans="1:7">
      <c r="A45" s="18">
        <v>4</v>
      </c>
      <c r="B45" s="18" t="s">
        <v>20</v>
      </c>
      <c r="C45" s="18"/>
      <c r="D45" s="18"/>
      <c r="E45" s="18"/>
      <c r="F45" s="18"/>
      <c r="G45" s="18" t="str">
        <f>IF(OR($A45="",$C45=""),"",IF($A45&lt;=Setup!$B$10,"Pre","Post"))</f>
        <v/>
      </c>
    </row>
    <row r="46" spans="1:7">
      <c r="A46" s="18">
        <v>4</v>
      </c>
      <c r="B46" s="18" t="s">
        <v>20</v>
      </c>
      <c r="C46" s="18"/>
      <c r="D46" s="18"/>
      <c r="E46" s="18"/>
      <c r="F46" s="18"/>
      <c r="G46" s="18" t="str">
        <f>IF(OR($A46="",$C46=""),"",IF($A46&lt;=Setup!$B$10,"Pre","Post"))</f>
        <v/>
      </c>
    </row>
    <row r="47" spans="1:7">
      <c r="A47" s="18">
        <v>4</v>
      </c>
      <c r="B47" s="18" t="s">
        <v>20</v>
      </c>
      <c r="C47" s="18"/>
      <c r="D47" s="18"/>
      <c r="E47" s="18"/>
      <c r="F47" s="18"/>
      <c r="G47" s="18" t="str">
        <f>IF(OR($A47="",$C47=""),"",IF($A47&lt;=Setup!$B$10,"Pre","Post"))</f>
        <v/>
      </c>
    </row>
    <row r="48" spans="1:7">
      <c r="A48" s="18">
        <v>4</v>
      </c>
      <c r="B48" s="18" t="s">
        <v>20</v>
      </c>
      <c r="C48" s="18"/>
      <c r="D48" s="18"/>
      <c r="E48" s="18"/>
      <c r="F48" s="18"/>
      <c r="G48" s="18" t="str">
        <f>IF(OR($A48="",$C48=""),"",IF($A48&lt;=Setup!$B$10,"Pre","Post"))</f>
        <v/>
      </c>
    </row>
    <row r="49" spans="1:7">
      <c r="A49" s="18">
        <v>4</v>
      </c>
      <c r="B49" s="18" t="s">
        <v>20</v>
      </c>
      <c r="C49" s="18"/>
      <c r="D49" s="18"/>
      <c r="E49" s="18"/>
      <c r="F49" s="18"/>
      <c r="G49" s="18" t="str">
        <f>IF(OR($A49="",$C49=""),"",IF($A49&lt;=Setup!$B$10,"Pre","Post"))</f>
        <v/>
      </c>
    </row>
    <row r="50" spans="1:7">
      <c r="A50" s="18">
        <v>4</v>
      </c>
      <c r="B50" s="18" t="s">
        <v>20</v>
      </c>
      <c r="C50" s="18"/>
      <c r="D50" s="18"/>
      <c r="E50" s="18"/>
      <c r="F50" s="18"/>
      <c r="G50" s="18" t="str">
        <f>IF(OR($A50="",$C50=""),"",IF($A50&lt;=Setup!$B$10,"Pre","Post"))</f>
        <v/>
      </c>
    </row>
    <row r="51" spans="1:7">
      <c r="A51" s="18">
        <v>4</v>
      </c>
      <c r="B51" s="18" t="s">
        <v>20</v>
      </c>
      <c r="C51" s="18"/>
      <c r="D51" s="18"/>
      <c r="E51" s="18"/>
      <c r="F51" s="18"/>
      <c r="G51" s="18" t="str">
        <f>IF(OR($A51="",$C51=""),"",IF($A51&lt;=Setup!$B$10,"Pre","Post"))</f>
        <v/>
      </c>
    </row>
    <row r="52" spans="1:7">
      <c r="A52" s="18">
        <v>4</v>
      </c>
      <c r="B52" s="18" t="s">
        <v>20</v>
      </c>
      <c r="C52" s="18"/>
      <c r="D52" s="18"/>
      <c r="E52" s="18"/>
      <c r="F52" s="18"/>
      <c r="G52" s="18" t="str">
        <f>IF(OR($A52="",$C52=""),"",IF($A52&lt;=Setup!$B$10,"Pre","Post"))</f>
        <v/>
      </c>
    </row>
    <row r="53" spans="1:7">
      <c r="A53" s="18">
        <v>4</v>
      </c>
      <c r="B53" s="18" t="s">
        <v>20</v>
      </c>
      <c r="C53" s="18"/>
      <c r="D53" s="18"/>
      <c r="E53" s="18"/>
      <c r="F53" s="18"/>
      <c r="G53" s="18" t="str">
        <f>IF(OR($A53="",$C53=""),"",IF($A53&lt;=Setup!$B$10,"Pre","Post"))</f>
        <v/>
      </c>
    </row>
    <row r="54" spans="1:7">
      <c r="A54" s="18">
        <v>4</v>
      </c>
      <c r="B54" s="18" t="s">
        <v>20</v>
      </c>
      <c r="C54" s="18"/>
      <c r="D54" s="18"/>
      <c r="E54" s="18"/>
      <c r="F54" s="18"/>
      <c r="G54" s="18" t="str">
        <f>IF(OR($A54="",$C54=""),"",IF($A54&lt;=Setup!$B$10,"Pre","Post"))</f>
        <v/>
      </c>
    </row>
    <row r="55" spans="1:7">
      <c r="A55" s="18">
        <v>4</v>
      </c>
      <c r="B55" s="18" t="s">
        <v>20</v>
      </c>
      <c r="C55" s="18"/>
      <c r="D55" s="18"/>
      <c r="E55" s="18"/>
      <c r="F55" s="18"/>
      <c r="G55" s="18" t="str">
        <f>IF(OR($A55="",$C55=""),"",IF($A55&lt;=Setup!$B$10,"Pre","Post"))</f>
        <v/>
      </c>
    </row>
    <row r="56" spans="1:7">
      <c r="A56" s="18">
        <v>5</v>
      </c>
      <c r="B56" s="18" t="s">
        <v>20</v>
      </c>
      <c r="C56" s="18"/>
      <c r="D56" s="18"/>
      <c r="E56" s="18"/>
      <c r="F56" s="18"/>
      <c r="G56" s="18" t="str">
        <f>IF(OR($A56="",$C56=""),"",IF($A56&lt;=Setup!$B$10,"Pre","Post"))</f>
        <v/>
      </c>
    </row>
    <row r="57" spans="1:7">
      <c r="A57" s="18">
        <v>5</v>
      </c>
      <c r="B57" s="18" t="s">
        <v>20</v>
      </c>
      <c r="C57" s="18"/>
      <c r="D57" s="18"/>
      <c r="E57" s="18"/>
      <c r="F57" s="18"/>
      <c r="G57" s="18" t="str">
        <f>IF(OR($A57="",$C57=""),"",IF($A57&lt;=Setup!$B$10,"Pre","Post"))</f>
        <v/>
      </c>
    </row>
    <row r="58" spans="1:7">
      <c r="A58" s="18">
        <v>5</v>
      </c>
      <c r="B58" s="18" t="s">
        <v>20</v>
      </c>
      <c r="C58" s="18"/>
      <c r="D58" s="18"/>
      <c r="E58" s="18"/>
      <c r="F58" s="18"/>
      <c r="G58" s="18" t="str">
        <f>IF(OR($A58="",$C58=""),"",IF($A58&lt;=Setup!$B$10,"Pre","Post"))</f>
        <v/>
      </c>
    </row>
    <row r="59" spans="1:7">
      <c r="A59" s="18">
        <v>5</v>
      </c>
      <c r="B59" s="18" t="s">
        <v>20</v>
      </c>
      <c r="C59" s="18"/>
      <c r="D59" s="18"/>
      <c r="E59" s="18"/>
      <c r="F59" s="18"/>
      <c r="G59" s="18" t="str">
        <f>IF(OR($A59="",$C59=""),"",IF($A59&lt;=Setup!$B$10,"Pre","Post"))</f>
        <v/>
      </c>
    </row>
    <row r="60" spans="1:7">
      <c r="A60" s="18">
        <v>5</v>
      </c>
      <c r="B60" s="18" t="s">
        <v>20</v>
      </c>
      <c r="C60" s="18"/>
      <c r="D60" s="18"/>
      <c r="E60" s="18"/>
      <c r="F60" s="18"/>
      <c r="G60" s="18" t="str">
        <f>IF(OR($A60="",$C60=""),"",IF($A60&lt;=Setup!$B$10,"Pre","Post"))</f>
        <v/>
      </c>
    </row>
    <row r="61" spans="1:7">
      <c r="A61" s="18">
        <v>5</v>
      </c>
      <c r="B61" s="18" t="s">
        <v>20</v>
      </c>
      <c r="C61" s="18"/>
      <c r="D61" s="18"/>
      <c r="E61" s="18"/>
      <c r="F61" s="18"/>
      <c r="G61" s="18" t="str">
        <f>IF(OR($A61="",$C61=""),"",IF($A61&lt;=Setup!$B$10,"Pre","Post"))</f>
        <v/>
      </c>
    </row>
    <row r="62" spans="1:7">
      <c r="A62" s="18">
        <v>5</v>
      </c>
      <c r="B62" s="18" t="s">
        <v>20</v>
      </c>
      <c r="C62" s="18"/>
      <c r="D62" s="18"/>
      <c r="E62" s="18"/>
      <c r="F62" s="18"/>
      <c r="G62" s="18" t="str">
        <f>IF(OR($A62="",$C62=""),"",IF($A62&lt;=Setup!$B$10,"Pre","Post"))</f>
        <v/>
      </c>
    </row>
    <row r="63" spans="1:7">
      <c r="A63" s="18">
        <v>5</v>
      </c>
      <c r="B63" s="18" t="s">
        <v>20</v>
      </c>
      <c r="C63" s="18"/>
      <c r="D63" s="18"/>
      <c r="E63" s="18"/>
      <c r="F63" s="18"/>
      <c r="G63" s="18" t="str">
        <f>IF(OR($A63="",$C63=""),"",IF($A63&lt;=Setup!$B$10,"Pre","Post"))</f>
        <v/>
      </c>
    </row>
    <row r="64" spans="1:7">
      <c r="A64" s="18">
        <v>5</v>
      </c>
      <c r="B64" s="18" t="s">
        <v>20</v>
      </c>
      <c r="C64" s="18"/>
      <c r="D64" s="18"/>
      <c r="E64" s="18"/>
      <c r="F64" s="18"/>
      <c r="G64" s="18" t="str">
        <f>IF(OR($A64="",$C64=""),"",IF($A64&lt;=Setup!$B$10,"Pre","Post"))</f>
        <v/>
      </c>
    </row>
    <row r="65" spans="1:7">
      <c r="A65" s="18">
        <v>5</v>
      </c>
      <c r="B65" s="18" t="s">
        <v>20</v>
      </c>
      <c r="C65" s="18"/>
      <c r="D65" s="18"/>
      <c r="E65" s="18"/>
      <c r="F65" s="18"/>
      <c r="G65" s="18" t="str">
        <f>IF(OR($A65="",$C65=""),"",IF($A65&lt;=Setup!$B$10,"Pre","Post"))</f>
        <v/>
      </c>
    </row>
    <row r="66" spans="1:7">
      <c r="A66" s="18">
        <v>5</v>
      </c>
      <c r="B66" s="18" t="s">
        <v>20</v>
      </c>
      <c r="C66" s="18"/>
      <c r="D66" s="18"/>
      <c r="E66" s="18"/>
      <c r="F66" s="18"/>
      <c r="G66" s="18" t="str">
        <f>IF(OR($A66="",$C66=""),"",IF($A66&lt;=Setup!$B$10,"Pre","Post"))</f>
        <v/>
      </c>
    </row>
    <row r="67" spans="1:7">
      <c r="A67" s="18">
        <v>5</v>
      </c>
      <c r="B67" s="18" t="s">
        <v>20</v>
      </c>
      <c r="C67" s="18"/>
      <c r="D67" s="18"/>
      <c r="E67" s="18"/>
      <c r="F67" s="18"/>
      <c r="G67" s="18" t="str">
        <f>IF(OR($A67="",$C67=""),"",IF($A67&lt;=Setup!$B$10,"Pre","Post"))</f>
        <v/>
      </c>
    </row>
    <row r="68" spans="1:7">
      <c r="A68" s="18">
        <v>5</v>
      </c>
      <c r="B68" s="18" t="s">
        <v>20</v>
      </c>
      <c r="C68" s="18"/>
      <c r="D68" s="18"/>
      <c r="E68" s="18"/>
      <c r="F68" s="18"/>
      <c r="G68" s="18" t="str">
        <f>IF(OR($A68="",$C68=""),"",IF($A68&lt;=Setup!$B$10,"Pre","Post"))</f>
        <v/>
      </c>
    </row>
    <row r="69" spans="1:7">
      <c r="A69" s="18">
        <v>6</v>
      </c>
      <c r="B69" s="18" t="s">
        <v>20</v>
      </c>
      <c r="C69" s="18"/>
      <c r="D69" s="18"/>
      <c r="E69" s="18"/>
      <c r="F69" s="18"/>
      <c r="G69" s="18" t="str">
        <f>IF(OR($A69="",$C69=""),"",IF($A69&lt;=Setup!$B$10,"Pre","Post"))</f>
        <v/>
      </c>
    </row>
    <row r="70" spans="1:7">
      <c r="A70" s="18">
        <v>6</v>
      </c>
      <c r="B70" s="18" t="s">
        <v>20</v>
      </c>
      <c r="C70" s="18"/>
      <c r="D70" s="18"/>
      <c r="E70" s="18"/>
      <c r="F70" s="18"/>
      <c r="G70" s="18" t="str">
        <f>IF(OR($A70="",$C70=""),"",IF($A70&lt;=Setup!$B$10,"Pre","Post"))</f>
        <v/>
      </c>
    </row>
    <row r="71" spans="1:7">
      <c r="A71" s="18">
        <v>6</v>
      </c>
      <c r="B71" s="18" t="s">
        <v>20</v>
      </c>
      <c r="C71" s="18"/>
      <c r="D71" s="18"/>
      <c r="E71" s="18"/>
      <c r="F71" s="18"/>
      <c r="G71" s="18" t="str">
        <f>IF(OR($A71="",$C71=""),"",IF($A71&lt;=Setup!$B$10,"Pre","Post"))</f>
        <v/>
      </c>
    </row>
    <row r="72" spans="1:7">
      <c r="A72" s="18">
        <v>6</v>
      </c>
      <c r="B72" s="18" t="s">
        <v>20</v>
      </c>
      <c r="C72" s="18"/>
      <c r="D72" s="18"/>
      <c r="E72" s="18"/>
      <c r="F72" s="18"/>
      <c r="G72" s="18" t="str">
        <f>IF(OR($A72="",$C72=""),"",IF($A72&lt;=Setup!$B$10,"Pre","Post"))</f>
        <v/>
      </c>
    </row>
    <row r="73" spans="1:7">
      <c r="A73" s="18">
        <v>6</v>
      </c>
      <c r="B73" s="18" t="s">
        <v>20</v>
      </c>
      <c r="C73" s="18"/>
      <c r="D73" s="18"/>
      <c r="E73" s="18"/>
      <c r="F73" s="18"/>
      <c r="G73" s="18" t="str">
        <f>IF(OR($A73="",$C73=""),"",IF($A73&lt;=Setup!$B$10,"Pre","Post"))</f>
        <v/>
      </c>
    </row>
    <row r="74" spans="1:7">
      <c r="A74" s="18">
        <v>6</v>
      </c>
      <c r="B74" s="18" t="s">
        <v>20</v>
      </c>
      <c r="C74" s="18"/>
      <c r="D74" s="18"/>
      <c r="E74" s="18"/>
      <c r="F74" s="18"/>
      <c r="G74" s="18" t="str">
        <f>IF(OR($A74="",$C74=""),"",IF($A74&lt;=Setup!$B$10,"Pre","Post"))</f>
        <v/>
      </c>
    </row>
    <row r="75" spans="1:7">
      <c r="A75" s="18">
        <v>6</v>
      </c>
      <c r="B75" s="18" t="s">
        <v>20</v>
      </c>
      <c r="C75" s="18"/>
      <c r="D75" s="18"/>
      <c r="E75" s="18"/>
      <c r="F75" s="18"/>
      <c r="G75" s="18" t="str">
        <f>IF(OR($A75="",$C75=""),"",IF($A75&lt;=Setup!$B$10,"Pre","Post"))</f>
        <v/>
      </c>
    </row>
    <row r="76" spans="1:7">
      <c r="A76" s="18">
        <v>6</v>
      </c>
      <c r="B76" s="18" t="s">
        <v>20</v>
      </c>
      <c r="C76" s="18"/>
      <c r="D76" s="18"/>
      <c r="E76" s="18"/>
      <c r="F76" s="18"/>
      <c r="G76" s="18" t="str">
        <f>IF(OR($A76="",$C76=""),"",IF($A76&lt;=Setup!$B$10,"Pre","Post"))</f>
        <v/>
      </c>
    </row>
    <row r="77" spans="1:7">
      <c r="A77" s="18">
        <v>6</v>
      </c>
      <c r="B77" s="18" t="s">
        <v>20</v>
      </c>
      <c r="C77" s="18"/>
      <c r="D77" s="18"/>
      <c r="E77" s="18"/>
      <c r="F77" s="18"/>
      <c r="G77" s="18" t="str">
        <f>IF(OR($A77="",$C77=""),"",IF($A77&lt;=Setup!$B$10,"Pre","Post"))</f>
        <v/>
      </c>
    </row>
    <row r="78" spans="1:7">
      <c r="A78" s="18">
        <v>6</v>
      </c>
      <c r="B78" s="18" t="s">
        <v>20</v>
      </c>
      <c r="C78" s="18"/>
      <c r="D78" s="18"/>
      <c r="E78" s="18"/>
      <c r="F78" s="18"/>
      <c r="G78" s="18" t="str">
        <f>IF(OR($A78="",$C78=""),"",IF($A78&lt;=Setup!$B$10,"Pre","Post"))</f>
        <v/>
      </c>
    </row>
    <row r="79" spans="1:7">
      <c r="A79" s="18">
        <v>6</v>
      </c>
      <c r="B79" s="18" t="s">
        <v>20</v>
      </c>
      <c r="C79" s="18"/>
      <c r="D79" s="18"/>
      <c r="E79" s="18"/>
      <c r="F79" s="18"/>
      <c r="G79" s="18" t="str">
        <f>IF(OR($A79="",$C79=""),"",IF($A79&lt;=Setup!$B$10,"Pre","Post"))</f>
        <v/>
      </c>
    </row>
    <row r="80" spans="1:7">
      <c r="A80" s="18">
        <v>6</v>
      </c>
      <c r="B80" s="18" t="s">
        <v>20</v>
      </c>
      <c r="C80" s="18"/>
      <c r="D80" s="18"/>
      <c r="E80" s="18"/>
      <c r="F80" s="18"/>
      <c r="G80" s="18" t="str">
        <f>IF(OR($A80="",$C80=""),"",IF($A80&lt;=Setup!$B$10,"Pre","Post"))</f>
        <v/>
      </c>
    </row>
    <row r="81" spans="1:7">
      <c r="A81" s="18">
        <v>6</v>
      </c>
      <c r="B81" s="18" t="s">
        <v>20</v>
      </c>
      <c r="C81" s="18"/>
      <c r="D81" s="18"/>
      <c r="E81" s="18"/>
      <c r="F81" s="18"/>
      <c r="G81" s="18" t="str">
        <f>IF(OR($A81="",$C81=""),"",IF($A81&lt;=Setup!$B$10,"Pre","Post"))</f>
        <v/>
      </c>
    </row>
    <row r="82" spans="1:7">
      <c r="A82" s="18">
        <v>7</v>
      </c>
      <c r="B82" s="18" t="s">
        <v>20</v>
      </c>
      <c r="C82" s="18"/>
      <c r="D82" s="18"/>
      <c r="E82" s="18"/>
      <c r="F82" s="18"/>
      <c r="G82" s="18" t="str">
        <f>IF(OR($A82="",$C82=""),"",IF($A82&lt;=Setup!$B$10,"Pre","Post"))</f>
        <v/>
      </c>
    </row>
    <row r="83" spans="1:7">
      <c r="A83" s="18">
        <v>7</v>
      </c>
      <c r="B83" s="18" t="s">
        <v>20</v>
      </c>
      <c r="C83" s="18"/>
      <c r="D83" s="18"/>
      <c r="E83" s="18"/>
      <c r="F83" s="18"/>
      <c r="G83" s="18" t="str">
        <f>IF(OR($A83="",$C83=""),"",IF($A83&lt;=Setup!$B$10,"Pre","Post"))</f>
        <v/>
      </c>
    </row>
    <row r="84" spans="1:7">
      <c r="A84" s="18">
        <v>7</v>
      </c>
      <c r="B84" s="18" t="s">
        <v>20</v>
      </c>
      <c r="C84" s="18"/>
      <c r="D84" s="18"/>
      <c r="E84" s="18"/>
      <c r="F84" s="18"/>
      <c r="G84" s="18" t="str">
        <f>IF(OR($A84="",$C84=""),"",IF($A84&lt;=Setup!$B$10,"Pre","Post"))</f>
        <v/>
      </c>
    </row>
    <row r="85" spans="1:7">
      <c r="A85" s="18">
        <v>7</v>
      </c>
      <c r="B85" s="18" t="s">
        <v>20</v>
      </c>
      <c r="C85" s="18"/>
      <c r="D85" s="18"/>
      <c r="E85" s="18"/>
      <c r="F85" s="18"/>
      <c r="G85" s="18" t="str">
        <f>IF(OR($A85="",$C85=""),"",IF($A85&lt;=Setup!$B$10,"Pre","Post"))</f>
        <v/>
      </c>
    </row>
    <row r="86" spans="1:7">
      <c r="A86" s="18">
        <v>7</v>
      </c>
      <c r="B86" s="18" t="s">
        <v>20</v>
      </c>
      <c r="C86" s="18"/>
      <c r="D86" s="18"/>
      <c r="E86" s="18"/>
      <c r="F86" s="18"/>
      <c r="G86" s="18" t="str">
        <f>IF(OR($A86="",$C86=""),"",IF($A86&lt;=Setup!$B$10,"Pre","Post"))</f>
        <v/>
      </c>
    </row>
    <row r="87" spans="1:7">
      <c r="A87" s="18">
        <v>7</v>
      </c>
      <c r="B87" s="18" t="s">
        <v>20</v>
      </c>
      <c r="C87" s="18"/>
      <c r="D87" s="18"/>
      <c r="E87" s="18"/>
      <c r="F87" s="18"/>
      <c r="G87" s="18" t="str">
        <f>IF(OR($A87="",$C87=""),"",IF($A87&lt;=Setup!$B$10,"Pre","Post"))</f>
        <v/>
      </c>
    </row>
    <row r="88" spans="1:7">
      <c r="A88" s="18">
        <v>7</v>
      </c>
      <c r="B88" s="18" t="s">
        <v>20</v>
      </c>
      <c r="C88" s="18"/>
      <c r="D88" s="18"/>
      <c r="E88" s="18"/>
      <c r="F88" s="18"/>
      <c r="G88" s="18" t="str">
        <f>IF(OR($A88="",$C88=""),"",IF($A88&lt;=Setup!$B$10,"Pre","Post"))</f>
        <v/>
      </c>
    </row>
    <row r="89" spans="1:7">
      <c r="A89" s="18">
        <v>7</v>
      </c>
      <c r="B89" s="18" t="s">
        <v>20</v>
      </c>
      <c r="C89" s="18"/>
      <c r="D89" s="18"/>
      <c r="E89" s="18"/>
      <c r="F89" s="18"/>
      <c r="G89" s="18" t="str">
        <f>IF(OR($A89="",$C89=""),"",IF($A89&lt;=Setup!$B$10,"Pre","Post"))</f>
        <v/>
      </c>
    </row>
    <row r="90" spans="1:7">
      <c r="A90" s="18">
        <v>7</v>
      </c>
      <c r="B90" s="18" t="s">
        <v>20</v>
      </c>
      <c r="C90" s="18"/>
      <c r="D90" s="18"/>
      <c r="E90" s="18"/>
      <c r="F90" s="18"/>
      <c r="G90" s="18" t="str">
        <f>IF(OR($A90="",$C90=""),"",IF($A90&lt;=Setup!$B$10,"Pre","Post"))</f>
        <v/>
      </c>
    </row>
    <row r="91" spans="1:7">
      <c r="A91" s="18">
        <v>7</v>
      </c>
      <c r="B91" s="18" t="s">
        <v>20</v>
      </c>
      <c r="C91" s="18"/>
      <c r="D91" s="18"/>
      <c r="E91" s="18"/>
      <c r="F91" s="18"/>
      <c r="G91" s="18" t="str">
        <f>IF(OR($A91="",$C91=""),"",IF($A91&lt;=Setup!$B$10,"Pre","Post"))</f>
        <v/>
      </c>
    </row>
    <row r="92" spans="1:7">
      <c r="A92" s="18">
        <v>7</v>
      </c>
      <c r="B92" s="18" t="s">
        <v>20</v>
      </c>
      <c r="C92" s="18"/>
      <c r="D92" s="18"/>
      <c r="E92" s="18"/>
      <c r="F92" s="18"/>
      <c r="G92" s="18" t="str">
        <f>IF(OR($A92="",$C92=""),"",IF($A92&lt;=Setup!$B$10,"Pre","Post"))</f>
        <v/>
      </c>
    </row>
    <row r="93" spans="1:7">
      <c r="A93" s="18">
        <v>7</v>
      </c>
      <c r="B93" s="18" t="s">
        <v>20</v>
      </c>
      <c r="C93" s="18"/>
      <c r="D93" s="18"/>
      <c r="E93" s="18"/>
      <c r="F93" s="18"/>
      <c r="G93" s="18" t="str">
        <f>IF(OR($A93="",$C93=""),"",IF($A93&lt;=Setup!$B$10,"Pre","Post"))</f>
        <v/>
      </c>
    </row>
    <row r="94" spans="1:7">
      <c r="A94" s="18">
        <v>7</v>
      </c>
      <c r="B94" s="18" t="s">
        <v>20</v>
      </c>
      <c r="C94" s="18"/>
      <c r="D94" s="18"/>
      <c r="E94" s="18"/>
      <c r="F94" s="18"/>
      <c r="G94" s="18" t="str">
        <f>IF(OR($A94="",$C94=""),"",IF($A94&lt;=Setup!$B$10,"Pre","Post"))</f>
        <v/>
      </c>
    </row>
    <row r="95" spans="1:7">
      <c r="A95" s="18">
        <v>8</v>
      </c>
      <c r="B95" s="18" t="s">
        <v>20</v>
      </c>
      <c r="C95" s="18"/>
      <c r="D95" s="18"/>
      <c r="E95" s="18"/>
      <c r="F95" s="18"/>
      <c r="G95" s="18" t="str">
        <f>IF(OR($A95="",$C95=""),"",IF($A95&lt;=Setup!$B$10,"Pre","Post"))</f>
        <v/>
      </c>
    </row>
    <row r="96" spans="1:7">
      <c r="A96" s="18">
        <v>8</v>
      </c>
      <c r="B96" s="18" t="s">
        <v>20</v>
      </c>
      <c r="C96" s="18"/>
      <c r="D96" s="18"/>
      <c r="E96" s="18"/>
      <c r="F96" s="18"/>
      <c r="G96" s="18" t="str">
        <f>IF(OR($A96="",$C96=""),"",IF($A96&lt;=Setup!$B$10,"Pre","Post"))</f>
        <v/>
      </c>
    </row>
    <row r="97" spans="1:7">
      <c r="A97" s="18">
        <v>8</v>
      </c>
      <c r="B97" s="18" t="s">
        <v>20</v>
      </c>
      <c r="C97" s="18"/>
      <c r="D97" s="18"/>
      <c r="E97" s="18"/>
      <c r="F97" s="18"/>
      <c r="G97" s="18" t="str">
        <f>IF(OR($A97="",$C97=""),"",IF($A97&lt;=Setup!$B$10,"Pre","Post"))</f>
        <v/>
      </c>
    </row>
    <row r="98" spans="1:7">
      <c r="A98" s="18">
        <v>8</v>
      </c>
      <c r="B98" s="18" t="s">
        <v>20</v>
      </c>
      <c r="C98" s="18"/>
      <c r="D98" s="18"/>
      <c r="E98" s="18"/>
      <c r="F98" s="18"/>
      <c r="G98" s="18" t="str">
        <f>IF(OR($A98="",$C98=""),"",IF($A98&lt;=Setup!$B$10,"Pre","Post"))</f>
        <v/>
      </c>
    </row>
    <row r="99" spans="1:7">
      <c r="A99" s="18">
        <v>8</v>
      </c>
      <c r="B99" s="18" t="s">
        <v>20</v>
      </c>
      <c r="C99" s="18"/>
      <c r="D99" s="18"/>
      <c r="E99" s="18"/>
      <c r="F99" s="18"/>
      <c r="G99" s="18" t="str">
        <f>IF(OR($A99="",$C99=""),"",IF($A99&lt;=Setup!$B$10,"Pre","Post"))</f>
        <v/>
      </c>
    </row>
    <row r="100" spans="1:7">
      <c r="A100" s="18">
        <v>8</v>
      </c>
      <c r="B100" s="18" t="s">
        <v>20</v>
      </c>
      <c r="C100" s="18"/>
      <c r="D100" s="18"/>
      <c r="E100" s="18"/>
      <c r="F100" s="18"/>
      <c r="G100" s="18" t="str">
        <f>IF(OR($A100="",$C100=""),"",IF($A100&lt;=Setup!$B$10,"Pre","Post"))</f>
        <v/>
      </c>
    </row>
    <row r="101" spans="1:7">
      <c r="A101" s="18">
        <v>8</v>
      </c>
      <c r="B101" s="18" t="s">
        <v>20</v>
      </c>
      <c r="C101" s="18"/>
      <c r="D101" s="18"/>
      <c r="E101" s="18"/>
      <c r="F101" s="18"/>
      <c r="G101" s="18" t="str">
        <f>IF(OR($A101="",$C101=""),"",IF($A101&lt;=Setup!$B$10,"Pre","Post"))</f>
        <v/>
      </c>
    </row>
    <row r="102" spans="1:7">
      <c r="A102" s="18">
        <v>8</v>
      </c>
      <c r="B102" s="18" t="s">
        <v>20</v>
      </c>
      <c r="C102" s="18"/>
      <c r="D102" s="18"/>
      <c r="E102" s="18"/>
      <c r="F102" s="18"/>
      <c r="G102" s="18" t="str">
        <f>IF(OR($A102="",$C102=""),"",IF($A102&lt;=Setup!$B$10,"Pre","Post"))</f>
        <v/>
      </c>
    </row>
    <row r="103" spans="1:7">
      <c r="A103" s="18">
        <v>8</v>
      </c>
      <c r="B103" s="18" t="s">
        <v>20</v>
      </c>
      <c r="C103" s="18"/>
      <c r="D103" s="18"/>
      <c r="E103" s="18"/>
      <c r="F103" s="18"/>
      <c r="G103" s="18" t="str">
        <f>IF(OR($A103="",$C103=""),"",IF($A103&lt;=Setup!$B$10,"Pre","Post"))</f>
        <v/>
      </c>
    </row>
    <row r="104" spans="1:7">
      <c r="A104" s="18">
        <v>8</v>
      </c>
      <c r="B104" s="18" t="s">
        <v>20</v>
      </c>
      <c r="C104" s="18"/>
      <c r="D104" s="18"/>
      <c r="E104" s="18"/>
      <c r="F104" s="18"/>
      <c r="G104" s="18" t="str">
        <f>IF(OR($A104="",$C104=""),"",IF($A104&lt;=Setup!$B$10,"Pre","Post"))</f>
        <v/>
      </c>
    </row>
    <row r="105" spans="1:7">
      <c r="A105" s="18">
        <v>8</v>
      </c>
      <c r="B105" s="18" t="s">
        <v>20</v>
      </c>
      <c r="C105" s="18"/>
      <c r="D105" s="18"/>
      <c r="E105" s="18"/>
      <c r="F105" s="18"/>
      <c r="G105" s="18" t="str">
        <f>IF(OR($A105="",$C105=""),"",IF($A105&lt;=Setup!$B$10,"Pre","Post"))</f>
        <v/>
      </c>
    </row>
    <row r="106" spans="1:7">
      <c r="A106" s="18">
        <v>8</v>
      </c>
      <c r="B106" s="18" t="s">
        <v>20</v>
      </c>
      <c r="C106" s="18"/>
      <c r="D106" s="18"/>
      <c r="E106" s="18"/>
      <c r="F106" s="18"/>
      <c r="G106" s="18" t="str">
        <f>IF(OR($A106="",$C106=""),"",IF($A106&lt;=Setup!$B$10,"Pre","Post"))</f>
        <v/>
      </c>
    </row>
    <row r="107" spans="1:7">
      <c r="A107" s="18">
        <v>8</v>
      </c>
      <c r="B107" s="18" t="s">
        <v>20</v>
      </c>
      <c r="C107" s="18"/>
      <c r="D107" s="18"/>
      <c r="E107" s="18"/>
      <c r="F107" s="18"/>
      <c r="G107" s="18" t="str">
        <f>IF(OR($A107="",$C107=""),"",IF($A107&lt;=Setup!$B$10,"Pre","Post"))</f>
        <v/>
      </c>
    </row>
    <row r="108" spans="1:7">
      <c r="A108" s="18">
        <v>9</v>
      </c>
      <c r="B108" s="18" t="s">
        <v>20</v>
      </c>
      <c r="C108" s="18"/>
      <c r="D108" s="18"/>
      <c r="E108" s="18"/>
      <c r="F108" s="18"/>
      <c r="G108" s="18" t="str">
        <f>IF(OR($A108="",$C108=""),"",IF($A108&lt;=Setup!$B$10,"Pre","Post"))</f>
        <v/>
      </c>
    </row>
    <row r="109" spans="1:7">
      <c r="A109" s="18">
        <v>9</v>
      </c>
      <c r="B109" s="18" t="s">
        <v>20</v>
      </c>
      <c r="C109" s="18"/>
      <c r="D109" s="18"/>
      <c r="E109" s="18"/>
      <c r="F109" s="18"/>
      <c r="G109" s="18" t="str">
        <f>IF(OR($A109="",$C109=""),"",IF($A109&lt;=Setup!$B$10,"Pre","Post"))</f>
        <v/>
      </c>
    </row>
    <row r="110" spans="1:7">
      <c r="A110" s="18">
        <v>9</v>
      </c>
      <c r="B110" s="18" t="s">
        <v>20</v>
      </c>
      <c r="C110" s="18"/>
      <c r="D110" s="18"/>
      <c r="E110" s="18"/>
      <c r="F110" s="18"/>
      <c r="G110" s="18" t="str">
        <f>IF(OR($A110="",$C110=""),"",IF($A110&lt;=Setup!$B$10,"Pre","Post"))</f>
        <v/>
      </c>
    </row>
    <row r="111" spans="1:7">
      <c r="A111" s="18">
        <v>9</v>
      </c>
      <c r="B111" s="18" t="s">
        <v>20</v>
      </c>
      <c r="C111" s="18"/>
      <c r="D111" s="18"/>
      <c r="E111" s="18"/>
      <c r="F111" s="18"/>
      <c r="G111" s="18" t="str">
        <f>IF(OR($A111="",$C111=""),"",IF($A111&lt;=Setup!$B$10,"Pre","Post"))</f>
        <v/>
      </c>
    </row>
    <row r="112" spans="1:7">
      <c r="A112" s="18">
        <v>9</v>
      </c>
      <c r="B112" s="18" t="s">
        <v>20</v>
      </c>
      <c r="C112" s="18"/>
      <c r="D112" s="18"/>
      <c r="E112" s="18"/>
      <c r="F112" s="18"/>
      <c r="G112" s="18" t="str">
        <f>IF(OR($A112="",$C112=""),"",IF($A112&lt;=Setup!$B$10,"Pre","Post"))</f>
        <v/>
      </c>
    </row>
    <row r="113" spans="1:7">
      <c r="A113" s="18">
        <v>9</v>
      </c>
      <c r="B113" s="18" t="s">
        <v>20</v>
      </c>
      <c r="C113" s="18"/>
      <c r="D113" s="18"/>
      <c r="E113" s="18"/>
      <c r="F113" s="18"/>
      <c r="G113" s="18" t="str">
        <f>IF(OR($A113="",$C113=""),"",IF($A113&lt;=Setup!$B$10,"Pre","Post"))</f>
        <v/>
      </c>
    </row>
    <row r="114" spans="1:7">
      <c r="A114" s="18">
        <v>9</v>
      </c>
      <c r="B114" s="18" t="s">
        <v>20</v>
      </c>
      <c r="C114" s="18"/>
      <c r="D114" s="18"/>
      <c r="E114" s="18"/>
      <c r="F114" s="18"/>
      <c r="G114" s="18" t="str">
        <f>IF(OR($A114="",$C114=""),"",IF($A114&lt;=Setup!$B$10,"Pre","Post"))</f>
        <v/>
      </c>
    </row>
    <row r="115" spans="1:7">
      <c r="A115" s="18">
        <v>9</v>
      </c>
      <c r="B115" s="18" t="s">
        <v>20</v>
      </c>
      <c r="C115" s="18"/>
      <c r="D115" s="18"/>
      <c r="E115" s="18"/>
      <c r="F115" s="18"/>
      <c r="G115" s="18" t="str">
        <f>IF(OR($A115="",$C115=""),"",IF($A115&lt;=Setup!$B$10,"Pre","Post"))</f>
        <v/>
      </c>
    </row>
    <row r="116" spans="1:7">
      <c r="A116" s="18">
        <v>9</v>
      </c>
      <c r="B116" s="18" t="s">
        <v>20</v>
      </c>
      <c r="C116" s="18"/>
      <c r="D116" s="18"/>
      <c r="E116" s="18"/>
      <c r="F116" s="18"/>
      <c r="G116" s="18" t="str">
        <f>IF(OR($A116="",$C116=""),"",IF($A116&lt;=Setup!$B$10,"Pre","Post"))</f>
        <v/>
      </c>
    </row>
    <row r="117" spans="1:7">
      <c r="A117" s="18">
        <v>9</v>
      </c>
      <c r="B117" s="18" t="s">
        <v>20</v>
      </c>
      <c r="C117" s="18"/>
      <c r="D117" s="18"/>
      <c r="E117" s="18"/>
      <c r="F117" s="18"/>
      <c r="G117" s="18" t="str">
        <f>IF(OR($A117="",$C117=""),"",IF($A117&lt;=Setup!$B$10,"Pre","Post"))</f>
        <v/>
      </c>
    </row>
    <row r="118" spans="1:7">
      <c r="A118" s="18">
        <v>9</v>
      </c>
      <c r="B118" s="18" t="s">
        <v>20</v>
      </c>
      <c r="C118" s="18"/>
      <c r="D118" s="18"/>
      <c r="E118" s="18"/>
      <c r="F118" s="18"/>
      <c r="G118" s="18" t="str">
        <f>IF(OR($A118="",$C118=""),"",IF($A118&lt;=Setup!$B$10,"Pre","Post"))</f>
        <v/>
      </c>
    </row>
    <row r="119" spans="1:7">
      <c r="A119" s="18">
        <v>9</v>
      </c>
      <c r="B119" s="18" t="s">
        <v>20</v>
      </c>
      <c r="C119" s="18"/>
      <c r="D119" s="18"/>
      <c r="E119" s="18"/>
      <c r="F119" s="18"/>
      <c r="G119" s="18" t="str">
        <f>IF(OR($A119="",$C119=""),"",IF($A119&lt;=Setup!$B$10,"Pre","Post"))</f>
        <v/>
      </c>
    </row>
    <row r="120" spans="1:7">
      <c r="A120" s="18">
        <v>9</v>
      </c>
      <c r="B120" s="18" t="s">
        <v>20</v>
      </c>
      <c r="C120" s="18"/>
      <c r="D120" s="18"/>
      <c r="E120" s="18"/>
      <c r="F120" s="18"/>
      <c r="G120" s="18" t="str">
        <f>IF(OR($A120="",$C120=""),"",IF($A120&lt;=Setup!$B$10,"Pre","Post"))</f>
        <v/>
      </c>
    </row>
    <row r="121" spans="1:7">
      <c r="A121" s="18">
        <v>10</v>
      </c>
      <c r="B121" s="18" t="s">
        <v>20</v>
      </c>
      <c r="C121" s="18"/>
      <c r="D121" s="18"/>
      <c r="E121" s="18"/>
      <c r="F121" s="18"/>
      <c r="G121" s="18" t="str">
        <f>IF(OR($A121="",$C121=""),"",IF($A121&lt;=Setup!$B$10,"Pre","Post"))</f>
        <v/>
      </c>
    </row>
    <row r="122" spans="1:7">
      <c r="A122" s="18">
        <v>10</v>
      </c>
      <c r="B122" s="18" t="s">
        <v>20</v>
      </c>
      <c r="C122" s="18"/>
      <c r="D122" s="18"/>
      <c r="E122" s="18"/>
      <c r="F122" s="18"/>
      <c r="G122" s="18" t="str">
        <f>IF(OR($A122="",$C122=""),"",IF($A122&lt;=Setup!$B$10,"Pre","Post"))</f>
        <v/>
      </c>
    </row>
    <row r="123" spans="1:7">
      <c r="A123" s="18">
        <v>10</v>
      </c>
      <c r="B123" s="18" t="s">
        <v>20</v>
      </c>
      <c r="C123" s="18"/>
      <c r="D123" s="18"/>
      <c r="E123" s="18"/>
      <c r="F123" s="18"/>
      <c r="G123" s="18" t="str">
        <f>IF(OR($A123="",$C123=""),"",IF($A123&lt;=Setup!$B$10,"Pre","Post"))</f>
        <v/>
      </c>
    </row>
    <row r="124" spans="1:7">
      <c r="A124" s="18">
        <v>10</v>
      </c>
      <c r="B124" s="18" t="s">
        <v>20</v>
      </c>
      <c r="C124" s="18"/>
      <c r="D124" s="18"/>
      <c r="E124" s="18"/>
      <c r="F124" s="18"/>
      <c r="G124" s="18" t="str">
        <f>IF(OR($A124="",$C124=""),"",IF($A124&lt;=Setup!$B$10,"Pre","Post"))</f>
        <v/>
      </c>
    </row>
    <row r="125" spans="1:7">
      <c r="A125" s="18">
        <v>10</v>
      </c>
      <c r="B125" s="18" t="s">
        <v>20</v>
      </c>
      <c r="C125" s="18"/>
      <c r="D125" s="18"/>
      <c r="E125" s="18"/>
      <c r="F125" s="18"/>
      <c r="G125" s="18" t="str">
        <f>IF(OR($A125="",$C125=""),"",IF($A125&lt;=Setup!$B$10,"Pre","Post"))</f>
        <v/>
      </c>
    </row>
    <row r="126" spans="1:7">
      <c r="A126" s="18">
        <v>10</v>
      </c>
      <c r="B126" s="18" t="s">
        <v>20</v>
      </c>
      <c r="C126" s="18"/>
      <c r="D126" s="18"/>
      <c r="E126" s="18"/>
      <c r="F126" s="18"/>
      <c r="G126" s="18" t="str">
        <f>IF(OR($A126="",$C126=""),"",IF($A126&lt;=Setup!$B$10,"Pre","Post"))</f>
        <v/>
      </c>
    </row>
    <row r="127" spans="1:7">
      <c r="A127" s="18">
        <v>10</v>
      </c>
      <c r="B127" s="18" t="s">
        <v>20</v>
      </c>
      <c r="C127" s="18"/>
      <c r="D127" s="18"/>
      <c r="E127" s="18"/>
      <c r="F127" s="18"/>
      <c r="G127" s="18" t="str">
        <f>IF(OR($A127="",$C127=""),"",IF($A127&lt;=Setup!$B$10,"Pre","Post"))</f>
        <v/>
      </c>
    </row>
    <row r="128" spans="1:7">
      <c r="A128" s="18">
        <v>10</v>
      </c>
      <c r="B128" s="18" t="s">
        <v>20</v>
      </c>
      <c r="C128" s="18"/>
      <c r="D128" s="18"/>
      <c r="E128" s="18"/>
      <c r="F128" s="18"/>
      <c r="G128" s="18" t="str">
        <f>IF(OR($A128="",$C128=""),"",IF($A128&lt;=Setup!$B$10,"Pre","Post"))</f>
        <v/>
      </c>
    </row>
    <row r="129" spans="1:7">
      <c r="A129" s="18">
        <v>10</v>
      </c>
      <c r="B129" s="18" t="s">
        <v>20</v>
      </c>
      <c r="C129" s="18"/>
      <c r="D129" s="18"/>
      <c r="E129" s="18"/>
      <c r="F129" s="18"/>
      <c r="G129" s="18" t="str">
        <f>IF(OR($A129="",$C129=""),"",IF($A129&lt;=Setup!$B$10,"Pre","Post"))</f>
        <v/>
      </c>
    </row>
    <row r="130" spans="1:7">
      <c r="A130" s="18">
        <v>10</v>
      </c>
      <c r="B130" s="18" t="s">
        <v>20</v>
      </c>
      <c r="C130" s="18"/>
      <c r="D130" s="18"/>
      <c r="E130" s="18"/>
      <c r="F130" s="18"/>
      <c r="G130" s="18" t="str">
        <f>IF(OR($A130="",$C130=""),"",IF($A130&lt;=Setup!$B$10,"Pre","Post"))</f>
        <v/>
      </c>
    </row>
    <row r="131" spans="1:7">
      <c r="A131" s="18">
        <v>10</v>
      </c>
      <c r="B131" s="18" t="s">
        <v>20</v>
      </c>
      <c r="C131" s="18"/>
      <c r="D131" s="18"/>
      <c r="E131" s="18"/>
      <c r="F131" s="18"/>
      <c r="G131" s="18" t="str">
        <f>IF(OR($A131="",$C131=""),"",IF($A131&lt;=Setup!$B$10,"Pre","Post"))</f>
        <v/>
      </c>
    </row>
    <row r="132" spans="1:7">
      <c r="A132" s="18">
        <v>10</v>
      </c>
      <c r="B132" s="18" t="s">
        <v>20</v>
      </c>
      <c r="C132" s="18"/>
      <c r="D132" s="18"/>
      <c r="E132" s="18"/>
      <c r="F132" s="18"/>
      <c r="G132" s="18" t="str">
        <f>IF(OR($A132="",$C132=""),"",IF($A132&lt;=Setup!$B$10,"Pre","Post"))</f>
        <v/>
      </c>
    </row>
    <row r="133" spans="1:7">
      <c r="A133" s="18">
        <v>10</v>
      </c>
      <c r="B133" s="18" t="s">
        <v>20</v>
      </c>
      <c r="C133" s="18"/>
      <c r="D133" s="18"/>
      <c r="E133" s="18"/>
      <c r="F133" s="18"/>
      <c r="G133" s="18" t="str">
        <f>IF(OR($A133="",$C133=""),"",IF($A133&lt;=Setup!$B$10,"Pre","Post"))</f>
        <v/>
      </c>
    </row>
    <row r="134" spans="1:7">
      <c r="A134" s="18">
        <v>11</v>
      </c>
      <c r="B134" s="18" t="s">
        <v>20</v>
      </c>
      <c r="C134" s="18"/>
      <c r="D134" s="18"/>
      <c r="E134" s="18"/>
      <c r="F134" s="18"/>
      <c r="G134" s="18" t="str">
        <f>IF(OR($A134="",$C134=""),"",IF($A134&lt;=Setup!$B$10,"Pre","Post"))</f>
        <v/>
      </c>
    </row>
    <row r="135" spans="1:7">
      <c r="A135" s="18">
        <v>11</v>
      </c>
      <c r="B135" s="18" t="s">
        <v>20</v>
      </c>
      <c r="C135" s="18"/>
      <c r="D135" s="18"/>
      <c r="E135" s="18"/>
      <c r="F135" s="18"/>
      <c r="G135" s="18" t="str">
        <f>IF(OR($A135="",$C135=""),"",IF($A135&lt;=Setup!$B$10,"Pre","Post"))</f>
        <v/>
      </c>
    </row>
    <row r="136" spans="1:7">
      <c r="A136" s="18">
        <v>11</v>
      </c>
      <c r="B136" s="18" t="s">
        <v>20</v>
      </c>
      <c r="C136" s="18"/>
      <c r="D136" s="18"/>
      <c r="E136" s="18"/>
      <c r="F136" s="18"/>
      <c r="G136" s="18" t="str">
        <f>IF(OR($A136="",$C136=""),"",IF($A136&lt;=Setup!$B$10,"Pre","Post"))</f>
        <v/>
      </c>
    </row>
    <row r="137" spans="1:7">
      <c r="A137" s="18">
        <v>11</v>
      </c>
      <c r="B137" s="18" t="s">
        <v>20</v>
      </c>
      <c r="C137" s="18"/>
      <c r="D137" s="18"/>
      <c r="E137" s="18"/>
      <c r="F137" s="18"/>
      <c r="G137" s="18" t="str">
        <f>IF(OR($A137="",$C137=""),"",IF($A137&lt;=Setup!$B$10,"Pre","Post"))</f>
        <v/>
      </c>
    </row>
    <row r="138" spans="1:7">
      <c r="A138" s="18">
        <v>11</v>
      </c>
      <c r="B138" s="18" t="s">
        <v>20</v>
      </c>
      <c r="C138" s="18"/>
      <c r="D138" s="18"/>
      <c r="E138" s="18"/>
      <c r="F138" s="18"/>
      <c r="G138" s="18" t="str">
        <f>IF(OR($A138="",$C138=""),"",IF($A138&lt;=Setup!$B$10,"Pre","Post"))</f>
        <v/>
      </c>
    </row>
    <row r="139" spans="1:7">
      <c r="A139" s="18">
        <v>11</v>
      </c>
      <c r="B139" s="18" t="s">
        <v>20</v>
      </c>
      <c r="C139" s="18"/>
      <c r="D139" s="18"/>
      <c r="E139" s="18"/>
      <c r="F139" s="18"/>
      <c r="G139" s="18" t="str">
        <f>IF(OR($A139="",$C139=""),"",IF($A139&lt;=Setup!$B$10,"Pre","Post"))</f>
        <v/>
      </c>
    </row>
    <row r="140" spans="1:7">
      <c r="A140" s="18">
        <v>11</v>
      </c>
      <c r="B140" s="18" t="s">
        <v>20</v>
      </c>
      <c r="C140" s="18"/>
      <c r="D140" s="18"/>
      <c r="E140" s="18"/>
      <c r="F140" s="18"/>
      <c r="G140" s="18" t="str">
        <f>IF(OR($A140="",$C140=""),"",IF($A140&lt;=Setup!$B$10,"Pre","Post"))</f>
        <v/>
      </c>
    </row>
    <row r="141" spans="1:7">
      <c r="A141" s="18">
        <v>11</v>
      </c>
      <c r="B141" s="18" t="s">
        <v>20</v>
      </c>
      <c r="C141" s="18"/>
      <c r="D141" s="18"/>
      <c r="E141" s="18"/>
      <c r="F141" s="18"/>
      <c r="G141" s="18" t="str">
        <f>IF(OR($A141="",$C141=""),"",IF($A141&lt;=Setup!$B$10,"Pre","Post"))</f>
        <v/>
      </c>
    </row>
    <row r="142" spans="1:7">
      <c r="A142" s="18">
        <v>11</v>
      </c>
      <c r="B142" s="18" t="s">
        <v>20</v>
      </c>
      <c r="C142" s="18"/>
      <c r="D142" s="18"/>
      <c r="E142" s="18"/>
      <c r="F142" s="18"/>
      <c r="G142" s="18" t="str">
        <f>IF(OR($A142="",$C142=""),"",IF($A142&lt;=Setup!$B$10,"Pre","Post"))</f>
        <v/>
      </c>
    </row>
    <row r="143" spans="1:7">
      <c r="A143" s="18">
        <v>11</v>
      </c>
      <c r="B143" s="18" t="s">
        <v>20</v>
      </c>
      <c r="C143" s="18"/>
      <c r="D143" s="18"/>
      <c r="E143" s="18"/>
      <c r="F143" s="18"/>
      <c r="G143" s="18" t="str">
        <f>IF(OR($A143="",$C143=""),"",IF($A143&lt;=Setup!$B$10,"Pre","Post"))</f>
        <v/>
      </c>
    </row>
    <row r="144" spans="1:7">
      <c r="A144" s="18">
        <v>11</v>
      </c>
      <c r="B144" s="18" t="s">
        <v>20</v>
      </c>
      <c r="C144" s="18"/>
      <c r="D144" s="18"/>
      <c r="E144" s="18"/>
      <c r="F144" s="18"/>
      <c r="G144" s="18" t="str">
        <f>IF(OR($A144="",$C144=""),"",IF($A144&lt;=Setup!$B$10,"Pre","Post"))</f>
        <v/>
      </c>
    </row>
    <row r="145" spans="1:7">
      <c r="A145" s="18">
        <v>11</v>
      </c>
      <c r="B145" s="18" t="s">
        <v>20</v>
      </c>
      <c r="C145" s="18"/>
      <c r="D145" s="18"/>
      <c r="E145" s="18"/>
      <c r="F145" s="18"/>
      <c r="G145" s="18" t="str">
        <f>IF(OR($A145="",$C145=""),"",IF($A145&lt;=Setup!$B$10,"Pre","Post"))</f>
        <v/>
      </c>
    </row>
    <row r="146" spans="1:7">
      <c r="A146" s="18">
        <v>11</v>
      </c>
      <c r="B146" s="18" t="s">
        <v>20</v>
      </c>
      <c r="C146" s="18"/>
      <c r="D146" s="18"/>
      <c r="E146" s="18"/>
      <c r="F146" s="18"/>
      <c r="G146" s="18" t="str">
        <f>IF(OR($A146="",$C146=""),"",IF($A146&lt;=Setup!$B$10,"Pre","Post"))</f>
        <v/>
      </c>
    </row>
    <row r="147" spans="1:7">
      <c r="A147" s="18">
        <v>12</v>
      </c>
      <c r="B147" s="18" t="s">
        <v>20</v>
      </c>
      <c r="C147" s="18"/>
      <c r="D147" s="18"/>
      <c r="E147" s="18"/>
      <c r="F147" s="18"/>
      <c r="G147" s="18" t="str">
        <f>IF(OR($A147="",$C147=""),"",IF($A147&lt;=Setup!$B$10,"Pre","Post"))</f>
        <v/>
      </c>
    </row>
    <row r="148" spans="1:7">
      <c r="A148" s="18">
        <v>12</v>
      </c>
      <c r="B148" s="18" t="s">
        <v>20</v>
      </c>
      <c r="C148" s="18"/>
      <c r="D148" s="18"/>
      <c r="E148" s="18"/>
      <c r="F148" s="18"/>
      <c r="G148" s="18" t="str">
        <f>IF(OR($A148="",$C148=""),"",IF($A148&lt;=Setup!$B$10,"Pre","Post"))</f>
        <v/>
      </c>
    </row>
    <row r="149" spans="1:7">
      <c r="A149" s="18">
        <v>12</v>
      </c>
      <c r="B149" s="18" t="s">
        <v>20</v>
      </c>
      <c r="C149" s="18"/>
      <c r="D149" s="18"/>
      <c r="E149" s="18"/>
      <c r="F149" s="18"/>
      <c r="G149" s="18" t="str">
        <f>IF(OR($A149="",$C149=""),"",IF($A149&lt;=Setup!$B$10,"Pre","Post"))</f>
        <v/>
      </c>
    </row>
    <row r="150" spans="1:7">
      <c r="A150" s="18">
        <v>12</v>
      </c>
      <c r="B150" s="18" t="s">
        <v>20</v>
      </c>
      <c r="C150" s="18"/>
      <c r="D150" s="18"/>
      <c r="E150" s="18"/>
      <c r="F150" s="18"/>
      <c r="G150" s="18" t="str">
        <f>IF(OR($A150="",$C150=""),"",IF($A150&lt;=Setup!$B$10,"Pre","Post"))</f>
        <v/>
      </c>
    </row>
    <row r="151" spans="1:7">
      <c r="A151" s="18">
        <v>12</v>
      </c>
      <c r="B151" s="18" t="s">
        <v>20</v>
      </c>
      <c r="C151" s="18"/>
      <c r="D151" s="18"/>
      <c r="E151" s="18"/>
      <c r="F151" s="18"/>
      <c r="G151" s="18" t="str">
        <f>IF(OR($A151="",$C151=""),"",IF($A151&lt;=Setup!$B$10,"Pre","Post"))</f>
        <v/>
      </c>
    </row>
    <row r="152" spans="1:7">
      <c r="A152" s="18">
        <v>12</v>
      </c>
      <c r="B152" s="18" t="s">
        <v>20</v>
      </c>
      <c r="C152" s="18"/>
      <c r="D152" s="18"/>
      <c r="E152" s="18"/>
      <c r="F152" s="18"/>
      <c r="G152" s="18" t="str">
        <f>IF(OR($A152="",$C152=""),"",IF($A152&lt;=Setup!$B$10,"Pre","Post"))</f>
        <v/>
      </c>
    </row>
    <row r="153" spans="1:7">
      <c r="A153" s="18">
        <v>12</v>
      </c>
      <c r="B153" s="18" t="s">
        <v>20</v>
      </c>
      <c r="C153" s="18"/>
      <c r="D153" s="18"/>
      <c r="E153" s="18"/>
      <c r="F153" s="18"/>
      <c r="G153" s="18" t="str">
        <f>IF(OR($A153="",$C153=""),"",IF($A153&lt;=Setup!$B$10,"Pre","Post"))</f>
        <v/>
      </c>
    </row>
    <row r="154" spans="1:7">
      <c r="A154" s="18">
        <v>12</v>
      </c>
      <c r="B154" s="18" t="s">
        <v>20</v>
      </c>
      <c r="C154" s="18"/>
      <c r="D154" s="18"/>
      <c r="E154" s="18"/>
      <c r="F154" s="18"/>
      <c r="G154" s="18" t="str">
        <f>IF(OR($A154="",$C154=""),"",IF($A154&lt;=Setup!$B$10,"Pre","Post"))</f>
        <v/>
      </c>
    </row>
    <row r="155" spans="1:7">
      <c r="A155" s="18">
        <v>12</v>
      </c>
      <c r="B155" s="18" t="s">
        <v>20</v>
      </c>
      <c r="C155" s="18"/>
      <c r="D155" s="18"/>
      <c r="E155" s="18"/>
      <c r="F155" s="18"/>
      <c r="G155" s="18" t="str">
        <f>IF(OR($A155="",$C155=""),"",IF($A155&lt;=Setup!$B$10,"Pre","Post"))</f>
        <v/>
      </c>
    </row>
    <row r="156" spans="1:7">
      <c r="A156" s="18">
        <v>12</v>
      </c>
      <c r="B156" s="18" t="s">
        <v>20</v>
      </c>
      <c r="C156" s="18"/>
      <c r="D156" s="18"/>
      <c r="E156" s="18"/>
      <c r="F156" s="18"/>
      <c r="G156" s="18" t="str">
        <f>IF(OR($A156="",$C156=""),"",IF($A156&lt;=Setup!$B$10,"Pre","Post"))</f>
        <v/>
      </c>
    </row>
    <row r="157" spans="1:7">
      <c r="A157" s="18">
        <v>12</v>
      </c>
      <c r="B157" s="18" t="s">
        <v>20</v>
      </c>
      <c r="C157" s="18"/>
      <c r="D157" s="18"/>
      <c r="E157" s="18"/>
      <c r="F157" s="18"/>
      <c r="G157" s="18" t="str">
        <f>IF(OR($A157="",$C157=""),"",IF($A157&lt;=Setup!$B$10,"Pre","Post"))</f>
        <v/>
      </c>
    </row>
    <row r="158" spans="1:7">
      <c r="A158" s="18">
        <v>12</v>
      </c>
      <c r="B158" s="18" t="s">
        <v>20</v>
      </c>
      <c r="C158" s="18"/>
      <c r="D158" s="18"/>
      <c r="E158" s="18"/>
      <c r="F158" s="18"/>
      <c r="G158" s="18" t="str">
        <f>IF(OR($A158="",$C158=""),"",IF($A158&lt;=Setup!$B$10,"Pre","Post"))</f>
        <v/>
      </c>
    </row>
    <row r="159" spans="1:7">
      <c r="A159" s="18">
        <v>12</v>
      </c>
      <c r="B159" s="18" t="s">
        <v>20</v>
      </c>
      <c r="C159" s="18"/>
      <c r="D159" s="18"/>
      <c r="E159" s="18"/>
      <c r="F159" s="18"/>
      <c r="G159" s="18" t="str">
        <f>IF(OR($A159="",$C159=""),"",IF($A159&lt;=Setup!$B$10,"Pre","Post"))</f>
        <v/>
      </c>
    </row>
    <row r="160" spans="1:7">
      <c r="A160" s="18">
        <v>13</v>
      </c>
      <c r="B160" s="18" t="s">
        <v>20</v>
      </c>
      <c r="C160" s="18"/>
      <c r="D160" s="18"/>
      <c r="E160" s="18"/>
      <c r="F160" s="18"/>
      <c r="G160" s="18" t="str">
        <f>IF(OR($A160="",$C160=""),"",IF($A160&lt;=Setup!$B$10,"Pre","Post"))</f>
        <v/>
      </c>
    </row>
    <row r="161" spans="1:7">
      <c r="A161" s="18">
        <v>13</v>
      </c>
      <c r="B161" s="18" t="s">
        <v>20</v>
      </c>
      <c r="C161" s="18"/>
      <c r="D161" s="18"/>
      <c r="E161" s="18"/>
      <c r="F161" s="18"/>
      <c r="G161" s="18" t="str">
        <f>IF(OR($A161="",$C161=""),"",IF($A161&lt;=Setup!$B$10,"Pre","Post"))</f>
        <v/>
      </c>
    </row>
    <row r="162" spans="1:7">
      <c r="A162" s="18">
        <v>13</v>
      </c>
      <c r="B162" s="18" t="s">
        <v>20</v>
      </c>
      <c r="C162" s="18"/>
      <c r="D162" s="18"/>
      <c r="E162" s="18"/>
      <c r="F162" s="18"/>
      <c r="G162" s="18" t="str">
        <f>IF(OR($A162="",$C162=""),"",IF($A162&lt;=Setup!$B$10,"Pre","Post"))</f>
        <v/>
      </c>
    </row>
    <row r="163" spans="1:7">
      <c r="A163" s="18">
        <v>13</v>
      </c>
      <c r="B163" s="18" t="s">
        <v>20</v>
      </c>
      <c r="C163" s="18"/>
      <c r="D163" s="18"/>
      <c r="E163" s="18"/>
      <c r="F163" s="18"/>
      <c r="G163" s="18" t="str">
        <f>IF(OR($A163="",$C163=""),"",IF($A163&lt;=Setup!$B$10,"Pre","Post"))</f>
        <v/>
      </c>
    </row>
    <row r="164" spans="1:7">
      <c r="A164" s="18">
        <v>13</v>
      </c>
      <c r="B164" s="18" t="s">
        <v>20</v>
      </c>
      <c r="C164" s="18"/>
      <c r="D164" s="18"/>
      <c r="E164" s="18"/>
      <c r="F164" s="18"/>
      <c r="G164" s="18" t="str">
        <f>IF(OR($A164="",$C164=""),"",IF($A164&lt;=Setup!$B$10,"Pre","Post"))</f>
        <v/>
      </c>
    </row>
    <row r="165" spans="1:7">
      <c r="A165" s="18">
        <v>13</v>
      </c>
      <c r="B165" s="18" t="s">
        <v>20</v>
      </c>
      <c r="C165" s="18"/>
      <c r="D165" s="18"/>
      <c r="E165" s="18"/>
      <c r="F165" s="18"/>
      <c r="G165" s="18" t="str">
        <f>IF(OR($A165="",$C165=""),"",IF($A165&lt;=Setup!$B$10,"Pre","Post"))</f>
        <v/>
      </c>
    </row>
    <row r="166" spans="1:7">
      <c r="A166" s="18">
        <v>13</v>
      </c>
      <c r="B166" s="18" t="s">
        <v>20</v>
      </c>
      <c r="C166" s="18"/>
      <c r="D166" s="18"/>
      <c r="E166" s="18"/>
      <c r="F166" s="18"/>
      <c r="G166" s="18" t="str">
        <f>IF(OR($A166="",$C166=""),"",IF($A166&lt;=Setup!$B$10,"Pre","Post"))</f>
        <v/>
      </c>
    </row>
    <row r="167" spans="1:7">
      <c r="A167" s="18">
        <v>13</v>
      </c>
      <c r="B167" s="18" t="s">
        <v>20</v>
      </c>
      <c r="C167" s="18"/>
      <c r="D167" s="18"/>
      <c r="E167" s="18"/>
      <c r="F167" s="18"/>
      <c r="G167" s="18" t="str">
        <f>IF(OR($A167="",$C167=""),"",IF($A167&lt;=Setup!$B$10,"Pre","Post"))</f>
        <v/>
      </c>
    </row>
    <row r="168" spans="1:7">
      <c r="A168" s="18">
        <v>13</v>
      </c>
      <c r="B168" s="18" t="s">
        <v>20</v>
      </c>
      <c r="C168" s="18"/>
      <c r="D168" s="18"/>
      <c r="E168" s="18"/>
      <c r="F168" s="18"/>
      <c r="G168" s="18" t="str">
        <f>IF(OR($A168="",$C168=""),"",IF($A168&lt;=Setup!$B$10,"Pre","Post"))</f>
        <v/>
      </c>
    </row>
    <row r="169" spans="1:7">
      <c r="A169" s="18">
        <v>13</v>
      </c>
      <c r="B169" s="18" t="s">
        <v>20</v>
      </c>
      <c r="C169" s="18"/>
      <c r="D169" s="18"/>
      <c r="E169" s="18"/>
      <c r="F169" s="18"/>
      <c r="G169" s="18" t="str">
        <f>IF(OR($A169="",$C169=""),"",IF($A169&lt;=Setup!$B$10,"Pre","Post"))</f>
        <v/>
      </c>
    </row>
    <row r="170" spans="1:7">
      <c r="A170" s="18">
        <v>13</v>
      </c>
      <c r="B170" s="18" t="s">
        <v>20</v>
      </c>
      <c r="C170" s="18"/>
      <c r="D170" s="18"/>
      <c r="E170" s="18"/>
      <c r="F170" s="18"/>
      <c r="G170" s="18" t="str">
        <f>IF(OR($A170="",$C170=""),"",IF($A170&lt;=Setup!$B$10,"Pre","Post"))</f>
        <v/>
      </c>
    </row>
    <row r="171" spans="1:7">
      <c r="A171" s="18">
        <v>13</v>
      </c>
      <c r="B171" s="18" t="s">
        <v>20</v>
      </c>
      <c r="C171" s="18"/>
      <c r="D171" s="18"/>
      <c r="E171" s="18"/>
      <c r="F171" s="18"/>
      <c r="G171" s="18" t="str">
        <f>IF(OR($A171="",$C171=""),"",IF($A171&lt;=Setup!$B$10,"Pre","Post"))</f>
        <v/>
      </c>
    </row>
    <row r="172" spans="1:7">
      <c r="A172" s="18">
        <v>13</v>
      </c>
      <c r="B172" s="18" t="s">
        <v>20</v>
      </c>
      <c r="C172" s="18"/>
      <c r="D172" s="18"/>
      <c r="E172" s="18"/>
      <c r="F172" s="18"/>
      <c r="G172" s="18" t="str">
        <f>IF(OR($A172="",$C172=""),"",IF($A172&lt;=Setup!$B$10,"Pre","Post"))</f>
        <v/>
      </c>
    </row>
    <row r="173" spans="1:7">
      <c r="A173" s="18">
        <v>14</v>
      </c>
      <c r="B173" s="18" t="s">
        <v>20</v>
      </c>
      <c r="C173" s="18"/>
      <c r="D173" s="18"/>
      <c r="E173" s="18"/>
      <c r="F173" s="18"/>
      <c r="G173" s="18" t="str">
        <f>IF(OR($A173="",$C173=""),"",IF($A173&lt;=Setup!$B$10,"Pre","Post"))</f>
        <v/>
      </c>
    </row>
    <row r="174" spans="1:7">
      <c r="A174" s="18">
        <v>14</v>
      </c>
      <c r="B174" s="18" t="s">
        <v>20</v>
      </c>
      <c r="C174" s="18"/>
      <c r="D174" s="18"/>
      <c r="E174" s="18"/>
      <c r="F174" s="18"/>
      <c r="G174" s="18" t="str">
        <f>IF(OR($A174="",$C174=""),"",IF($A174&lt;=Setup!$B$10,"Pre","Post"))</f>
        <v/>
      </c>
    </row>
    <row r="175" spans="1:7">
      <c r="A175" s="18">
        <v>14</v>
      </c>
      <c r="B175" s="18" t="s">
        <v>20</v>
      </c>
      <c r="C175" s="18"/>
      <c r="D175" s="18"/>
      <c r="E175" s="18"/>
      <c r="F175" s="18"/>
      <c r="G175" s="18" t="str">
        <f>IF(OR($A175="",$C175=""),"",IF($A175&lt;=Setup!$B$10,"Pre","Post"))</f>
        <v/>
      </c>
    </row>
    <row r="176" spans="1:7">
      <c r="A176" s="18">
        <v>14</v>
      </c>
      <c r="B176" s="18" t="s">
        <v>20</v>
      </c>
      <c r="C176" s="18"/>
      <c r="D176" s="18"/>
      <c r="E176" s="18"/>
      <c r="F176" s="18"/>
      <c r="G176" s="18" t="str">
        <f>IF(OR($A176="",$C176=""),"",IF($A176&lt;=Setup!$B$10,"Pre","Post"))</f>
        <v/>
      </c>
    </row>
    <row r="177" spans="1:7">
      <c r="A177" s="18">
        <v>14</v>
      </c>
      <c r="B177" s="18" t="s">
        <v>20</v>
      </c>
      <c r="C177" s="18"/>
      <c r="D177" s="18"/>
      <c r="E177" s="18"/>
      <c r="F177" s="18"/>
      <c r="G177" s="18" t="str">
        <f>IF(OR($A177="",$C177=""),"",IF($A177&lt;=Setup!$B$10,"Pre","Post"))</f>
        <v/>
      </c>
    </row>
    <row r="178" spans="1:7">
      <c r="A178" s="18">
        <v>14</v>
      </c>
      <c r="B178" s="18" t="s">
        <v>20</v>
      </c>
      <c r="C178" s="18"/>
      <c r="D178" s="18"/>
      <c r="E178" s="18"/>
      <c r="F178" s="18"/>
      <c r="G178" s="18" t="str">
        <f>IF(OR($A178="",$C178=""),"",IF($A178&lt;=Setup!$B$10,"Pre","Post"))</f>
        <v/>
      </c>
    </row>
    <row r="179" spans="1:7">
      <c r="A179" s="18">
        <v>14</v>
      </c>
      <c r="B179" s="18" t="s">
        <v>20</v>
      </c>
      <c r="C179" s="18"/>
      <c r="D179" s="18"/>
      <c r="E179" s="18"/>
      <c r="F179" s="18"/>
      <c r="G179" s="18" t="str">
        <f>IF(OR($A179="",$C179=""),"",IF($A179&lt;=Setup!$B$10,"Pre","Post"))</f>
        <v/>
      </c>
    </row>
    <row r="180" spans="1:7">
      <c r="A180" s="18">
        <v>14</v>
      </c>
      <c r="B180" s="18" t="s">
        <v>20</v>
      </c>
      <c r="C180" s="18"/>
      <c r="D180" s="18"/>
      <c r="E180" s="18"/>
      <c r="F180" s="18"/>
      <c r="G180" s="18" t="str">
        <f>IF(OR($A180="",$C180=""),"",IF($A180&lt;=Setup!$B$10,"Pre","Post"))</f>
        <v/>
      </c>
    </row>
    <row r="181" spans="1:7">
      <c r="A181" s="18">
        <v>14</v>
      </c>
      <c r="B181" s="18" t="s">
        <v>20</v>
      </c>
      <c r="C181" s="18"/>
      <c r="D181" s="18"/>
      <c r="E181" s="18"/>
      <c r="F181" s="18"/>
      <c r="G181" s="18" t="str">
        <f>IF(OR($A181="",$C181=""),"",IF($A181&lt;=Setup!$B$10,"Pre","Post"))</f>
        <v/>
      </c>
    </row>
    <row r="182" spans="1:7">
      <c r="A182" s="18">
        <v>14</v>
      </c>
      <c r="B182" s="18" t="s">
        <v>20</v>
      </c>
      <c r="C182" s="18"/>
      <c r="D182" s="18"/>
      <c r="E182" s="18"/>
      <c r="F182" s="18"/>
      <c r="G182" s="18" t="str">
        <f>IF(OR($A182="",$C182=""),"",IF($A182&lt;=Setup!$B$10,"Pre","Post"))</f>
        <v/>
      </c>
    </row>
    <row r="183" spans="1:7">
      <c r="A183" s="18">
        <v>14</v>
      </c>
      <c r="B183" s="18" t="s">
        <v>20</v>
      </c>
      <c r="C183" s="18"/>
      <c r="D183" s="18"/>
      <c r="E183" s="18"/>
      <c r="F183" s="18"/>
      <c r="G183" s="18" t="str">
        <f>IF(OR($A183="",$C183=""),"",IF($A183&lt;=Setup!$B$10,"Pre","Post"))</f>
        <v/>
      </c>
    </row>
    <row r="184" spans="1:7">
      <c r="A184" s="18">
        <v>14</v>
      </c>
      <c r="B184" s="18" t="s">
        <v>20</v>
      </c>
      <c r="C184" s="18"/>
      <c r="D184" s="18"/>
      <c r="E184" s="18"/>
      <c r="F184" s="18"/>
      <c r="G184" s="18" t="str">
        <f>IF(OR($A184="",$C184=""),"",IF($A184&lt;=Setup!$B$10,"Pre","Post"))</f>
        <v/>
      </c>
    </row>
    <row r="185" spans="1:7">
      <c r="A185" s="18">
        <v>14</v>
      </c>
      <c r="B185" s="18" t="s">
        <v>20</v>
      </c>
      <c r="C185" s="18"/>
      <c r="D185" s="18"/>
      <c r="E185" s="18"/>
      <c r="F185" s="18"/>
      <c r="G185" s="18" t="str">
        <f>IF(OR($A185="",$C185=""),"",IF($A185&lt;=Setup!$B$10,"Pre","Post"))</f>
        <v/>
      </c>
    </row>
    <row r="186" spans="1:7">
      <c r="A186" s="18"/>
      <c r="B186" s="18"/>
      <c r="C186" s="18"/>
      <c r="D186" s="18"/>
      <c r="E186" s="18"/>
      <c r="F186" s="18"/>
      <c r="G186" s="18" t="str">
        <f>IF(OR($A186="",$C186=""),"",IF($A186&lt;=Setup!$B$10,"Pre","Post"))</f>
        <v/>
      </c>
    </row>
    <row r="187" spans="1:7">
      <c r="A187" s="18"/>
      <c r="B187" s="18"/>
      <c r="C187" s="18"/>
      <c r="D187" s="18"/>
      <c r="E187" s="18"/>
      <c r="F187" s="18"/>
      <c r="G187" s="18" t="str">
        <f>IF(OR($A187="",$C187=""),"",IF($A187&lt;=Setup!$B$10,"Pre","Post"))</f>
        <v/>
      </c>
    </row>
    <row r="188" spans="1:7">
      <c r="A188" s="18"/>
      <c r="B188" s="18"/>
      <c r="C188" s="18"/>
      <c r="D188" s="18"/>
      <c r="E188" s="18"/>
      <c r="F188" s="18"/>
      <c r="G188" s="18" t="str">
        <f>IF(OR($A188="",$C188=""),"",IF($A188&lt;=Setup!$B$10,"Pre","Post"))</f>
        <v/>
      </c>
    </row>
    <row r="189" spans="1:7">
      <c r="A189" s="18"/>
      <c r="B189" s="18"/>
      <c r="C189" s="18"/>
      <c r="D189" s="18"/>
      <c r="E189" s="18"/>
      <c r="F189" s="18"/>
      <c r="G189" s="18" t="str">
        <f>IF(OR($A189="",$C189=""),"",IF($A189&lt;=Setup!$B$10,"Pre","Post"))</f>
        <v/>
      </c>
    </row>
    <row r="190" spans="1:7">
      <c r="A190" s="18"/>
      <c r="B190" s="18"/>
      <c r="C190" s="18"/>
      <c r="D190" s="18"/>
      <c r="E190" s="18"/>
      <c r="F190" s="18"/>
      <c r="G190" s="18" t="str">
        <f>IF(OR($A190="",$C190=""),"",IF($A190&lt;=Setup!$B$10,"Pre","Post"))</f>
        <v/>
      </c>
    </row>
    <row r="191" spans="1:7">
      <c r="A191" s="18"/>
      <c r="B191" s="18"/>
      <c r="C191" s="18"/>
      <c r="D191" s="18"/>
      <c r="E191" s="18"/>
      <c r="F191" s="18"/>
      <c r="G191" s="18" t="str">
        <f>IF(OR($A191="",$C191=""),"",IF($A191&lt;=Setup!$B$10,"Pre","Post"))</f>
        <v/>
      </c>
    </row>
    <row r="192" spans="1:7">
      <c r="A192" s="18"/>
      <c r="B192" s="18"/>
      <c r="C192" s="18"/>
      <c r="D192" s="18"/>
      <c r="E192" s="18"/>
      <c r="F192" s="18"/>
      <c r="G192" s="18" t="str">
        <f>IF(OR($A192="",$C192=""),"",IF($A192&lt;=Setup!$B$10,"Pre","Post"))</f>
        <v/>
      </c>
    </row>
    <row r="193" spans="1:7">
      <c r="A193" s="18"/>
      <c r="B193" s="18"/>
      <c r="C193" s="18"/>
      <c r="D193" s="18"/>
      <c r="E193" s="18"/>
      <c r="F193" s="18"/>
      <c r="G193" s="18" t="str">
        <f>IF(OR($A193="",$C193=""),"",IF($A193&lt;=Setup!$B$10,"Pre","Post"))</f>
        <v/>
      </c>
    </row>
    <row r="194" spans="1:7">
      <c r="A194" s="18"/>
      <c r="B194" s="18"/>
      <c r="C194" s="18"/>
      <c r="D194" s="18"/>
      <c r="E194" s="18"/>
      <c r="F194" s="18"/>
      <c r="G194" s="18" t="str">
        <f>IF(OR($A194="",$C194=""),"",IF($A194&lt;=Setup!$B$10,"Pre","Post"))</f>
        <v/>
      </c>
    </row>
    <row r="195" spans="1:7">
      <c r="A195" s="18"/>
      <c r="B195" s="18"/>
      <c r="C195" s="18"/>
      <c r="D195" s="18"/>
      <c r="E195" s="18"/>
      <c r="F195" s="18"/>
      <c r="G195" s="18" t="str">
        <f>IF(OR($A195="",$C195=""),"",IF($A195&lt;=Setup!$B$10,"Pre","Post"))</f>
        <v/>
      </c>
    </row>
    <row r="196" spans="1:7">
      <c r="A196" s="18"/>
      <c r="B196" s="18"/>
      <c r="C196" s="18"/>
      <c r="D196" s="18"/>
      <c r="E196" s="18"/>
      <c r="F196" s="18"/>
      <c r="G196" s="18" t="str">
        <f>IF(OR($A196="",$C196=""),"",IF($A196&lt;=Setup!$B$10,"Pre","Post"))</f>
        <v/>
      </c>
    </row>
    <row r="197" spans="1:7">
      <c r="A197" s="18"/>
      <c r="B197" s="18"/>
      <c r="C197" s="18"/>
      <c r="D197" s="18"/>
      <c r="E197" s="18"/>
      <c r="F197" s="18"/>
      <c r="G197" s="18" t="str">
        <f>IF(OR($A197="",$C197=""),"",IF($A197&lt;=Setup!$B$10,"Pre","Post"))</f>
        <v/>
      </c>
    </row>
    <row r="198" spans="1:7">
      <c r="A198" s="18"/>
      <c r="B198" s="18"/>
      <c r="C198" s="18"/>
      <c r="D198" s="18"/>
      <c r="E198" s="18"/>
      <c r="F198" s="18"/>
      <c r="G198" s="18" t="str">
        <f>IF(OR($A198="",$C198=""),"",IF($A198&lt;=Setup!$B$10,"Pre","Post"))</f>
        <v/>
      </c>
    </row>
    <row r="199" spans="1:7">
      <c r="A199" s="18"/>
      <c r="B199" s="18"/>
      <c r="C199" s="18"/>
      <c r="D199" s="18"/>
      <c r="E199" s="18"/>
      <c r="F199" s="18"/>
      <c r="G199" s="18" t="str">
        <f>IF(OR($A199="",$C199=""),"",IF($A199&lt;=Setup!$B$10,"Pre","Post"))</f>
        <v/>
      </c>
    </row>
    <row r="200" spans="1:7">
      <c r="A200" s="18"/>
      <c r="B200" s="18"/>
      <c r="C200" s="18"/>
      <c r="D200" s="18"/>
      <c r="E200" s="18"/>
      <c r="F200" s="18"/>
      <c r="G200" s="18" t="str">
        <f>IF(OR($A200="",$C200=""),"",IF($A200&lt;=Setup!$B$10,"Pre","Post"))</f>
        <v/>
      </c>
    </row>
    <row r="201" spans="1:7">
      <c r="A201" s="18"/>
      <c r="B201" s="18"/>
      <c r="C201" s="18"/>
      <c r="D201" s="18"/>
      <c r="E201" s="18"/>
      <c r="F201" s="18"/>
      <c r="G201" s="18" t="str">
        <f>IF(OR($A201="",$C201=""),"",IF($A201&lt;=Setup!$B$10,"Pre","Post"))</f>
        <v/>
      </c>
    </row>
    <row r="202" spans="1:7">
      <c r="A202" s="18"/>
      <c r="B202" s="18"/>
      <c r="C202" s="18"/>
      <c r="D202" s="18"/>
      <c r="E202" s="18"/>
      <c r="F202" s="18"/>
      <c r="G202" s="18" t="str">
        <f>IF(OR($A202="",$C202=""),"",IF($A202&lt;=Setup!$B$10,"Pre","Post"))</f>
        <v/>
      </c>
    </row>
    <row r="203" spans="1:7">
      <c r="A203" s="18"/>
      <c r="B203" s="18"/>
      <c r="C203" s="18"/>
      <c r="D203" s="18"/>
      <c r="E203" s="18"/>
      <c r="F203" s="18"/>
      <c r="G203" s="18" t="str">
        <f>IF(OR($A203="",$C203=""),"",IF($A203&lt;=Setup!$B$10,"Pre","Post"))</f>
        <v/>
      </c>
    </row>
  </sheetData>
  <mergeCells count="1">
    <mergeCell ref="A1:G1"/>
  </mergeCells>
  <dataValidations count="4">
    <dataValidation type="whole" sqref="A4:A203" xr:uid="{00000000-0002-0000-0500-000000000000}">
      <formula1>1</formula1>
      <formula2>30</formula2>
    </dataValidation>
    <dataValidation type="list" sqref="B4:B203" xr:uid="{00000000-0002-0000-0500-000001000000}">
      <formula1>"Home &amp; Away,Finals"</formula1>
    </dataValidation>
    <dataValidation type="whole" sqref="D4:E203" xr:uid="{00000000-0002-0000-0500-000003000000}">
      <formula1>1</formula1>
      <formula2>13</formula2>
    </dataValidation>
    <dataValidation type="decimal" sqref="F4:F203" xr:uid="{00000000-0002-0000-0500-000004000000}">
      <formula1>0</formula1>
      <formula2>8</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xr:uid="{00000000-0002-0000-0500-000002000000}">
          <x14:formula1>
            <xm:f>Setup!$B$18:$B$31</xm:f>
          </x14:formula1>
          <xm:sqref>C4:C203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19"/>
  <sheetViews>
    <sheetView showGridLines="0" workbookViewId="0">
      <selection sqref="A1:BF1"/>
    </sheetView>
  </sheetViews>
  <sheetFormatPr defaultRowHeight="13.55"/>
  <cols>
    <col min="1" max="1" width="18" customWidth="1"/>
    <col min="2" max="14" width="9" customWidth="1"/>
    <col min="15" max="15" width="14" customWidth="1"/>
    <col min="16" max="28" width="9" customWidth="1"/>
    <col min="29" max="29" width="14" customWidth="1"/>
    <col min="30" max="42" width="9" customWidth="1"/>
    <col min="43" max="43" width="15" customWidth="1"/>
    <col min="44" max="56" width="9" customWidth="1"/>
    <col min="57" max="57" width="15" customWidth="1"/>
    <col min="58" max="58" width="20" customWidth="1"/>
  </cols>
  <sheetData>
    <row r="1" spans="1:58" ht="19.25" customHeight="1">
      <c r="A1" s="50" t="s">
        <v>191</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row>
    <row r="3" spans="1:58" ht="15" customHeight="1">
      <c r="A3" s="60" t="s">
        <v>192</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2"/>
    </row>
    <row r="5" spans="1:58" ht="26.4" customHeight="1">
      <c r="A5" s="14" t="s">
        <v>70</v>
      </c>
      <c r="B5" s="15" t="s">
        <v>193</v>
      </c>
      <c r="C5" s="15" t="s">
        <v>194</v>
      </c>
      <c r="D5" s="15" t="s">
        <v>195</v>
      </c>
      <c r="E5" s="15" t="s">
        <v>196</v>
      </c>
      <c r="F5" s="15" t="s">
        <v>197</v>
      </c>
      <c r="G5" s="15" t="s">
        <v>198</v>
      </c>
      <c r="H5" s="15" t="s">
        <v>199</v>
      </c>
      <c r="I5" s="15" t="s">
        <v>200</v>
      </c>
      <c r="J5" s="15" t="s">
        <v>201</v>
      </c>
      <c r="K5" s="15" t="s">
        <v>202</v>
      </c>
      <c r="L5" s="15" t="s">
        <v>203</v>
      </c>
      <c r="M5" s="15" t="s">
        <v>204</v>
      </c>
      <c r="N5" s="15" t="s">
        <v>205</v>
      </c>
      <c r="O5" s="15" t="s">
        <v>206</v>
      </c>
      <c r="P5" s="15" t="s">
        <v>207</v>
      </c>
      <c r="Q5" s="15" t="s">
        <v>208</v>
      </c>
      <c r="R5" s="15" t="s">
        <v>209</v>
      </c>
      <c r="S5" s="15" t="s">
        <v>210</v>
      </c>
      <c r="T5" s="15" t="s">
        <v>211</v>
      </c>
      <c r="U5" s="15" t="s">
        <v>212</v>
      </c>
      <c r="V5" s="15" t="s">
        <v>213</v>
      </c>
      <c r="W5" s="15" t="s">
        <v>214</v>
      </c>
      <c r="X5" s="15" t="s">
        <v>215</v>
      </c>
      <c r="Y5" s="15" t="s">
        <v>216</v>
      </c>
      <c r="Z5" s="15" t="s">
        <v>217</v>
      </c>
      <c r="AA5" s="15" t="s">
        <v>218</v>
      </c>
      <c r="AB5" s="15" t="s">
        <v>219</v>
      </c>
      <c r="AC5" s="15" t="s">
        <v>220</v>
      </c>
      <c r="AD5" s="15" t="s">
        <v>221</v>
      </c>
      <c r="AE5" s="15" t="s">
        <v>222</v>
      </c>
      <c r="AF5" s="15" t="s">
        <v>223</v>
      </c>
      <c r="AG5" s="15" t="s">
        <v>224</v>
      </c>
      <c r="AH5" s="15" t="s">
        <v>225</v>
      </c>
      <c r="AI5" s="15" t="s">
        <v>226</v>
      </c>
      <c r="AJ5" s="15" t="s">
        <v>227</v>
      </c>
      <c r="AK5" s="15" t="s">
        <v>228</v>
      </c>
      <c r="AL5" s="15" t="s">
        <v>229</v>
      </c>
      <c r="AM5" s="15" t="s">
        <v>230</v>
      </c>
      <c r="AN5" s="15" t="s">
        <v>231</v>
      </c>
      <c r="AO5" s="15" t="s">
        <v>232</v>
      </c>
      <c r="AP5" s="15" t="s">
        <v>233</v>
      </c>
      <c r="AQ5" s="15" t="s">
        <v>234</v>
      </c>
      <c r="AR5" s="15" t="s">
        <v>235</v>
      </c>
      <c r="AS5" s="15" t="s">
        <v>236</v>
      </c>
      <c r="AT5" s="15" t="s">
        <v>237</v>
      </c>
      <c r="AU5" s="15" t="s">
        <v>238</v>
      </c>
      <c r="AV5" s="15" t="s">
        <v>239</v>
      </c>
      <c r="AW5" s="15" t="s">
        <v>240</v>
      </c>
      <c r="AX5" s="15" t="s">
        <v>241</v>
      </c>
      <c r="AY5" s="15" t="s">
        <v>242</v>
      </c>
      <c r="AZ5" s="15" t="s">
        <v>243</v>
      </c>
      <c r="BA5" s="15" t="s">
        <v>244</v>
      </c>
      <c r="BB5" s="15" t="s">
        <v>245</v>
      </c>
      <c r="BC5" s="15" t="s">
        <v>246</v>
      </c>
      <c r="BD5" s="15" t="s">
        <v>247</v>
      </c>
      <c r="BE5" s="15" t="s">
        <v>248</v>
      </c>
      <c r="BF5" s="16" t="s">
        <v>249</v>
      </c>
    </row>
    <row r="6" spans="1:58" ht="15" customHeight="1">
      <c r="A6" s="18" t="str">
        <f>Setup!$B$18</f>
        <v>Player 1</v>
      </c>
      <c r="B6" s="18">
        <f>COUNTIFS('Season Log'!$C$4:$C$203,$A6,'Season Log'!$G$4:$G$203,"Pre",'Season Log'!$B$4:$B$203,"&lt;&gt;Finals",'Season Log'!$D$4:$D$203,1)</f>
        <v>0</v>
      </c>
      <c r="C6" s="18">
        <f>COUNTIFS('Season Log'!$C$4:$C$203,$A6,'Season Log'!$G$4:$G$203,"Pre",'Season Log'!$B$4:$B$203,"&lt;&gt;Finals",'Season Log'!$D$4:$D$203,2)</f>
        <v>0</v>
      </c>
      <c r="D6" s="18">
        <f>COUNTIFS('Season Log'!$C$4:$C$203,$A6,'Season Log'!$G$4:$G$203,"Pre",'Season Log'!$B$4:$B$203,"&lt;&gt;Finals",'Season Log'!$D$4:$D$203,3)</f>
        <v>0</v>
      </c>
      <c r="E6" s="18">
        <f>COUNTIFS('Season Log'!$C$4:$C$203,$A6,'Season Log'!$G$4:$G$203,"Pre",'Season Log'!$B$4:$B$203,"&lt;&gt;Finals",'Season Log'!$D$4:$D$203,4)</f>
        <v>0</v>
      </c>
      <c r="F6" s="18">
        <f>COUNTIFS('Season Log'!$C$4:$C$203,$A6,'Season Log'!$G$4:$G$203,"Pre",'Season Log'!$B$4:$B$203,"&lt;&gt;Finals",'Season Log'!$D$4:$D$203,5)</f>
        <v>0</v>
      </c>
      <c r="G6" s="18">
        <f>COUNTIFS('Season Log'!$C$4:$C$203,$A6,'Season Log'!$G$4:$G$203,"Pre",'Season Log'!$B$4:$B$203,"&lt;&gt;Finals",'Season Log'!$D$4:$D$203,6)</f>
        <v>0</v>
      </c>
      <c r="H6" s="18">
        <f>COUNTIFS('Season Log'!$C$4:$C$203,$A6,'Season Log'!$G$4:$G$203,"Pre",'Season Log'!$B$4:$B$203,"&lt;&gt;Finals",'Season Log'!$D$4:$D$203,7)</f>
        <v>0</v>
      </c>
      <c r="I6" s="18">
        <f>COUNTIFS('Season Log'!$C$4:$C$203,$A6,'Season Log'!$G$4:$G$203,"Pre",'Season Log'!$B$4:$B$203,"&lt;&gt;Finals",'Season Log'!$D$4:$D$203,8)</f>
        <v>0</v>
      </c>
      <c r="J6" s="18">
        <f>COUNTIFS('Season Log'!$C$4:$C$203,$A6,'Season Log'!$G$4:$G$203,"Pre",'Season Log'!$B$4:$B$203,"&lt;&gt;Finals",'Season Log'!$D$4:$D$203,9)</f>
        <v>0</v>
      </c>
      <c r="K6" s="18">
        <f>COUNTIFS('Season Log'!$C$4:$C$203,$A6,'Season Log'!$G$4:$G$203,"Pre",'Season Log'!$B$4:$B$203,"&lt;&gt;Finals",'Season Log'!$D$4:$D$203,10)</f>
        <v>0</v>
      </c>
      <c r="L6" s="18">
        <f>COUNTIFS('Season Log'!$C$4:$C$203,$A6,'Season Log'!$G$4:$G$203,"Pre",'Season Log'!$B$4:$B$203,"&lt;&gt;Finals",'Season Log'!$D$4:$D$203,11)</f>
        <v>0</v>
      </c>
      <c r="M6" s="18">
        <f>COUNTIFS('Season Log'!$C$4:$C$203,$A6,'Season Log'!$G$4:$G$203,"Pre",'Season Log'!$B$4:$B$203,"&lt;&gt;Finals",'Season Log'!$D$4:$D$203,12)</f>
        <v>0</v>
      </c>
      <c r="N6" s="18">
        <f>COUNTIFS('Season Log'!$C$4:$C$203,$A6,'Season Log'!$G$4:$G$203,"Pre",'Season Log'!$B$4:$B$203,"&lt;&gt;Finals",'Season Log'!$D$4:$D$203,13)</f>
        <v>0</v>
      </c>
      <c r="O6" s="18">
        <f t="shared" ref="O6:O19" si="0">COUNTIF(B6:N6,"&gt;0")</f>
        <v>0</v>
      </c>
      <c r="P6" s="18">
        <f>COUNTIFS('Season Log'!$C$4:$C$203,$A6,'Season Log'!$G$4:$G$203,"Post",'Season Log'!$B$4:$B$203,"&lt;&gt;Finals",'Season Log'!$D$4:$D$203,1)</f>
        <v>0</v>
      </c>
      <c r="Q6" s="18">
        <f>COUNTIFS('Season Log'!$C$4:$C$203,$A6,'Season Log'!$G$4:$G$203,"Post",'Season Log'!$B$4:$B$203,"&lt;&gt;Finals",'Season Log'!$D$4:$D$203,2)</f>
        <v>0</v>
      </c>
      <c r="R6" s="18">
        <f>COUNTIFS('Season Log'!$C$4:$C$203,$A6,'Season Log'!$G$4:$G$203,"Post",'Season Log'!$B$4:$B$203,"&lt;&gt;Finals",'Season Log'!$D$4:$D$203,3)</f>
        <v>0</v>
      </c>
      <c r="S6" s="18">
        <f>COUNTIFS('Season Log'!$C$4:$C$203,$A6,'Season Log'!$G$4:$G$203,"Post",'Season Log'!$B$4:$B$203,"&lt;&gt;Finals",'Season Log'!$D$4:$D$203,4)</f>
        <v>0</v>
      </c>
      <c r="T6" s="18">
        <f>COUNTIFS('Season Log'!$C$4:$C$203,$A6,'Season Log'!$G$4:$G$203,"Post",'Season Log'!$B$4:$B$203,"&lt;&gt;Finals",'Season Log'!$D$4:$D$203,5)</f>
        <v>0</v>
      </c>
      <c r="U6" s="18">
        <f>COUNTIFS('Season Log'!$C$4:$C$203,$A6,'Season Log'!$G$4:$G$203,"Post",'Season Log'!$B$4:$B$203,"&lt;&gt;Finals",'Season Log'!$D$4:$D$203,6)</f>
        <v>0</v>
      </c>
      <c r="V6" s="18">
        <f>COUNTIFS('Season Log'!$C$4:$C$203,$A6,'Season Log'!$G$4:$G$203,"Post",'Season Log'!$B$4:$B$203,"&lt;&gt;Finals",'Season Log'!$D$4:$D$203,7)</f>
        <v>0</v>
      </c>
      <c r="W6" s="18">
        <f>COUNTIFS('Season Log'!$C$4:$C$203,$A6,'Season Log'!$G$4:$G$203,"Post",'Season Log'!$B$4:$B$203,"&lt;&gt;Finals",'Season Log'!$D$4:$D$203,8)</f>
        <v>0</v>
      </c>
      <c r="X6" s="18">
        <f>COUNTIFS('Season Log'!$C$4:$C$203,$A6,'Season Log'!$G$4:$G$203,"Post",'Season Log'!$B$4:$B$203,"&lt;&gt;Finals",'Season Log'!$D$4:$D$203,9)</f>
        <v>0</v>
      </c>
      <c r="Y6" s="18">
        <f>COUNTIFS('Season Log'!$C$4:$C$203,$A6,'Season Log'!$G$4:$G$203,"Post",'Season Log'!$B$4:$B$203,"&lt;&gt;Finals",'Season Log'!$D$4:$D$203,10)</f>
        <v>0</v>
      </c>
      <c r="Z6" s="18">
        <f>COUNTIFS('Season Log'!$C$4:$C$203,$A6,'Season Log'!$G$4:$G$203,"Post",'Season Log'!$B$4:$B$203,"&lt;&gt;Finals",'Season Log'!$D$4:$D$203,11)</f>
        <v>0</v>
      </c>
      <c r="AA6" s="18">
        <f>COUNTIFS('Season Log'!$C$4:$C$203,$A6,'Season Log'!$G$4:$G$203,"Post",'Season Log'!$B$4:$B$203,"&lt;&gt;Finals",'Season Log'!$D$4:$D$203,12)</f>
        <v>0</v>
      </c>
      <c r="AB6" s="18">
        <f>COUNTIFS('Season Log'!$C$4:$C$203,$A6,'Season Log'!$G$4:$G$203,"Post",'Season Log'!$B$4:$B$203,"&lt;&gt;Finals",'Season Log'!$D$4:$D$203,13)</f>
        <v>0</v>
      </c>
      <c r="AC6" s="18">
        <f t="shared" ref="AC6:AC19" si="1">COUNTIF(P6:AB6,"&gt;0")</f>
        <v>0</v>
      </c>
      <c r="AD6" s="18">
        <f>COUNTIFS('Season Log'!$C$4:$C$203,$A6,'Season Log'!$G$4:$G$203,"Pre",'Season Log'!$B$4:$B$203,"&lt;&gt;Finals",'Season Log'!$E$4:$E$203,1)</f>
        <v>0</v>
      </c>
      <c r="AE6" s="18">
        <f>COUNTIFS('Season Log'!$C$4:$C$203,$A6,'Season Log'!$G$4:$G$203,"Pre",'Season Log'!$B$4:$B$203,"&lt;&gt;Finals",'Season Log'!$E$4:$E$203,2)</f>
        <v>0</v>
      </c>
      <c r="AF6" s="18">
        <f>COUNTIFS('Season Log'!$C$4:$C$203,$A6,'Season Log'!$G$4:$G$203,"Pre",'Season Log'!$B$4:$B$203,"&lt;&gt;Finals",'Season Log'!$E$4:$E$203,3)</f>
        <v>0</v>
      </c>
      <c r="AG6" s="18">
        <f>COUNTIFS('Season Log'!$C$4:$C$203,$A6,'Season Log'!$G$4:$G$203,"Pre",'Season Log'!$B$4:$B$203,"&lt;&gt;Finals",'Season Log'!$E$4:$E$203,4)</f>
        <v>0</v>
      </c>
      <c r="AH6" s="18">
        <f>COUNTIFS('Season Log'!$C$4:$C$203,$A6,'Season Log'!$G$4:$G$203,"Pre",'Season Log'!$B$4:$B$203,"&lt;&gt;Finals",'Season Log'!$E$4:$E$203,5)</f>
        <v>0</v>
      </c>
      <c r="AI6" s="18">
        <f>COUNTIFS('Season Log'!$C$4:$C$203,$A6,'Season Log'!$G$4:$G$203,"Pre",'Season Log'!$B$4:$B$203,"&lt;&gt;Finals",'Season Log'!$E$4:$E$203,6)</f>
        <v>0</v>
      </c>
      <c r="AJ6" s="18">
        <f>COUNTIFS('Season Log'!$C$4:$C$203,$A6,'Season Log'!$G$4:$G$203,"Pre",'Season Log'!$B$4:$B$203,"&lt;&gt;Finals",'Season Log'!$E$4:$E$203,7)</f>
        <v>0</v>
      </c>
      <c r="AK6" s="18">
        <f>COUNTIFS('Season Log'!$C$4:$C$203,$A6,'Season Log'!$G$4:$G$203,"Pre",'Season Log'!$B$4:$B$203,"&lt;&gt;Finals",'Season Log'!$E$4:$E$203,8)</f>
        <v>0</v>
      </c>
      <c r="AL6" s="18">
        <f>COUNTIFS('Season Log'!$C$4:$C$203,$A6,'Season Log'!$G$4:$G$203,"Pre",'Season Log'!$B$4:$B$203,"&lt;&gt;Finals",'Season Log'!$E$4:$E$203,9)</f>
        <v>0</v>
      </c>
      <c r="AM6" s="18">
        <f>COUNTIFS('Season Log'!$C$4:$C$203,$A6,'Season Log'!$G$4:$G$203,"Pre",'Season Log'!$B$4:$B$203,"&lt;&gt;Finals",'Season Log'!$E$4:$E$203,10)</f>
        <v>0</v>
      </c>
      <c r="AN6" s="18">
        <f>COUNTIFS('Season Log'!$C$4:$C$203,$A6,'Season Log'!$G$4:$G$203,"Pre",'Season Log'!$B$4:$B$203,"&lt;&gt;Finals",'Season Log'!$E$4:$E$203,11)</f>
        <v>0</v>
      </c>
      <c r="AO6" s="18">
        <f>COUNTIFS('Season Log'!$C$4:$C$203,$A6,'Season Log'!$G$4:$G$203,"Pre",'Season Log'!$B$4:$B$203,"&lt;&gt;Finals",'Season Log'!$E$4:$E$203,12)</f>
        <v>0</v>
      </c>
      <c r="AP6" s="18">
        <f>COUNTIFS('Season Log'!$C$4:$C$203,$A6,'Season Log'!$G$4:$G$203,"Pre",'Season Log'!$B$4:$B$203,"&lt;&gt;Finals",'Season Log'!$E$4:$E$203,13)</f>
        <v>0</v>
      </c>
      <c r="AQ6" s="18">
        <f t="shared" ref="AQ6:AQ19" si="2">COUNTIF(AD6:AP6,"&gt;0")</f>
        <v>0</v>
      </c>
      <c r="AR6" s="18">
        <f>COUNTIFS('Season Log'!$C$4:$C$203,$A6,'Season Log'!$G$4:$G$203,"Post",'Season Log'!$B$4:$B$203,"&lt;&gt;Finals",'Season Log'!$E$4:$E$203,1)</f>
        <v>0</v>
      </c>
      <c r="AS6" s="18">
        <f>COUNTIFS('Season Log'!$C$4:$C$203,$A6,'Season Log'!$G$4:$G$203,"Post",'Season Log'!$B$4:$B$203,"&lt;&gt;Finals",'Season Log'!$E$4:$E$203,2)</f>
        <v>0</v>
      </c>
      <c r="AT6" s="18">
        <f>COUNTIFS('Season Log'!$C$4:$C$203,$A6,'Season Log'!$G$4:$G$203,"Post",'Season Log'!$B$4:$B$203,"&lt;&gt;Finals",'Season Log'!$E$4:$E$203,3)</f>
        <v>0</v>
      </c>
      <c r="AU6" s="18">
        <f>COUNTIFS('Season Log'!$C$4:$C$203,$A6,'Season Log'!$G$4:$G$203,"Post",'Season Log'!$B$4:$B$203,"&lt;&gt;Finals",'Season Log'!$E$4:$E$203,4)</f>
        <v>0</v>
      </c>
      <c r="AV6" s="18">
        <f>COUNTIFS('Season Log'!$C$4:$C$203,$A6,'Season Log'!$G$4:$G$203,"Post",'Season Log'!$B$4:$B$203,"&lt;&gt;Finals",'Season Log'!$E$4:$E$203,5)</f>
        <v>0</v>
      </c>
      <c r="AW6" s="18">
        <f>COUNTIFS('Season Log'!$C$4:$C$203,$A6,'Season Log'!$G$4:$G$203,"Post",'Season Log'!$B$4:$B$203,"&lt;&gt;Finals",'Season Log'!$E$4:$E$203,6)</f>
        <v>0</v>
      </c>
      <c r="AX6" s="18">
        <f>COUNTIFS('Season Log'!$C$4:$C$203,$A6,'Season Log'!$G$4:$G$203,"Post",'Season Log'!$B$4:$B$203,"&lt;&gt;Finals",'Season Log'!$E$4:$E$203,7)</f>
        <v>0</v>
      </c>
      <c r="AY6" s="18">
        <f>COUNTIFS('Season Log'!$C$4:$C$203,$A6,'Season Log'!$G$4:$G$203,"Post",'Season Log'!$B$4:$B$203,"&lt;&gt;Finals",'Season Log'!$E$4:$E$203,8)</f>
        <v>0</v>
      </c>
      <c r="AZ6" s="18">
        <f>COUNTIFS('Season Log'!$C$4:$C$203,$A6,'Season Log'!$G$4:$G$203,"Post",'Season Log'!$B$4:$B$203,"&lt;&gt;Finals",'Season Log'!$E$4:$E$203,9)</f>
        <v>0</v>
      </c>
      <c r="BA6" s="18">
        <f>COUNTIFS('Season Log'!$C$4:$C$203,$A6,'Season Log'!$G$4:$G$203,"Post",'Season Log'!$B$4:$B$203,"&lt;&gt;Finals",'Season Log'!$E$4:$E$203,10)</f>
        <v>0</v>
      </c>
      <c r="BB6" s="18">
        <f>COUNTIFS('Season Log'!$C$4:$C$203,$A6,'Season Log'!$G$4:$G$203,"Post",'Season Log'!$B$4:$B$203,"&lt;&gt;Finals",'Season Log'!$E$4:$E$203,11)</f>
        <v>0</v>
      </c>
      <c r="BC6" s="18">
        <f>COUNTIFS('Season Log'!$C$4:$C$203,$A6,'Season Log'!$G$4:$G$203,"Post",'Season Log'!$B$4:$B$203,"&lt;&gt;Finals",'Season Log'!$E$4:$E$203,12)</f>
        <v>0</v>
      </c>
      <c r="BD6" s="18">
        <f>COUNTIFS('Season Log'!$C$4:$C$203,$A6,'Season Log'!$G$4:$G$203,"Post",'Season Log'!$B$4:$B$203,"&lt;&gt;Finals",'Season Log'!$E$4:$E$203,13)</f>
        <v>0</v>
      </c>
      <c r="BE6" s="18">
        <f t="shared" ref="BE6:BE19" si="3">COUNTIF(AR6:BD6,"&gt;0")</f>
        <v>0</v>
      </c>
      <c r="BF6" s="18" t="str">
        <f>IF(OR($A6="",IFERROR(INDEX(Setup!$C$18:$C$31,MATCH($A6,Setup!$B$18:$B$31,0)),"No")&lt;&gt;"Yes"),"",IF(AND(Setup!$B$3&lt;&gt;"Stage 2",Setup!$B$3&lt;&gt;"Stage 3"),"Stage 2/3 not selected",IF(Setup!$B$11="Finals","Finals - rotation waived",IF(AND($O6&gt;=5,$AC6&gt;=5,$AQ6&gt;=5,$BE6&gt;=5),"OK","Needs rotation"))))</f>
        <v>Stage 2/3 not selected</v>
      </c>
    </row>
    <row r="7" spans="1:58" ht="15" customHeight="1">
      <c r="A7" s="18" t="str">
        <f>Setup!$B$19</f>
        <v>Player 2</v>
      </c>
      <c r="B7" s="18">
        <f>COUNTIFS('Season Log'!$C$4:$C$203,$A7,'Season Log'!$G$4:$G$203,"Pre",'Season Log'!$B$4:$B$203,"&lt;&gt;Finals",'Season Log'!$D$4:$D$203,1)</f>
        <v>0</v>
      </c>
      <c r="C7" s="18">
        <f>COUNTIFS('Season Log'!$C$4:$C$203,$A7,'Season Log'!$G$4:$G$203,"Pre",'Season Log'!$B$4:$B$203,"&lt;&gt;Finals",'Season Log'!$D$4:$D$203,2)</f>
        <v>0</v>
      </c>
      <c r="D7" s="18">
        <f>COUNTIFS('Season Log'!$C$4:$C$203,$A7,'Season Log'!$G$4:$G$203,"Pre",'Season Log'!$B$4:$B$203,"&lt;&gt;Finals",'Season Log'!$D$4:$D$203,3)</f>
        <v>0</v>
      </c>
      <c r="E7" s="18">
        <f>COUNTIFS('Season Log'!$C$4:$C$203,$A7,'Season Log'!$G$4:$G$203,"Pre",'Season Log'!$B$4:$B$203,"&lt;&gt;Finals",'Season Log'!$D$4:$D$203,4)</f>
        <v>0</v>
      </c>
      <c r="F7" s="18">
        <f>COUNTIFS('Season Log'!$C$4:$C$203,$A7,'Season Log'!$G$4:$G$203,"Pre",'Season Log'!$B$4:$B$203,"&lt;&gt;Finals",'Season Log'!$D$4:$D$203,5)</f>
        <v>0</v>
      </c>
      <c r="G7" s="18">
        <f>COUNTIFS('Season Log'!$C$4:$C$203,$A7,'Season Log'!$G$4:$G$203,"Pre",'Season Log'!$B$4:$B$203,"&lt;&gt;Finals",'Season Log'!$D$4:$D$203,6)</f>
        <v>0</v>
      </c>
      <c r="H7" s="18">
        <f>COUNTIFS('Season Log'!$C$4:$C$203,$A7,'Season Log'!$G$4:$G$203,"Pre",'Season Log'!$B$4:$B$203,"&lt;&gt;Finals",'Season Log'!$D$4:$D$203,7)</f>
        <v>0</v>
      </c>
      <c r="I7" s="18">
        <f>COUNTIFS('Season Log'!$C$4:$C$203,$A7,'Season Log'!$G$4:$G$203,"Pre",'Season Log'!$B$4:$B$203,"&lt;&gt;Finals",'Season Log'!$D$4:$D$203,8)</f>
        <v>0</v>
      </c>
      <c r="J7" s="18">
        <f>COUNTIFS('Season Log'!$C$4:$C$203,$A7,'Season Log'!$G$4:$G$203,"Pre",'Season Log'!$B$4:$B$203,"&lt;&gt;Finals",'Season Log'!$D$4:$D$203,9)</f>
        <v>0</v>
      </c>
      <c r="K7" s="18">
        <f>COUNTIFS('Season Log'!$C$4:$C$203,$A7,'Season Log'!$G$4:$G$203,"Pre",'Season Log'!$B$4:$B$203,"&lt;&gt;Finals",'Season Log'!$D$4:$D$203,10)</f>
        <v>0</v>
      </c>
      <c r="L7" s="18">
        <f>COUNTIFS('Season Log'!$C$4:$C$203,$A7,'Season Log'!$G$4:$G$203,"Pre",'Season Log'!$B$4:$B$203,"&lt;&gt;Finals",'Season Log'!$D$4:$D$203,11)</f>
        <v>0</v>
      </c>
      <c r="M7" s="18">
        <f>COUNTIFS('Season Log'!$C$4:$C$203,$A7,'Season Log'!$G$4:$G$203,"Pre",'Season Log'!$B$4:$B$203,"&lt;&gt;Finals",'Season Log'!$D$4:$D$203,12)</f>
        <v>0</v>
      </c>
      <c r="N7" s="18">
        <f>COUNTIFS('Season Log'!$C$4:$C$203,$A7,'Season Log'!$G$4:$G$203,"Pre",'Season Log'!$B$4:$B$203,"&lt;&gt;Finals",'Season Log'!$D$4:$D$203,13)</f>
        <v>0</v>
      </c>
      <c r="O7" s="18">
        <f t="shared" si="0"/>
        <v>0</v>
      </c>
      <c r="P7" s="18">
        <f>COUNTIFS('Season Log'!$C$4:$C$203,$A7,'Season Log'!$G$4:$G$203,"Post",'Season Log'!$B$4:$B$203,"&lt;&gt;Finals",'Season Log'!$D$4:$D$203,1)</f>
        <v>0</v>
      </c>
      <c r="Q7" s="18">
        <f>COUNTIFS('Season Log'!$C$4:$C$203,$A7,'Season Log'!$G$4:$G$203,"Post",'Season Log'!$B$4:$B$203,"&lt;&gt;Finals",'Season Log'!$D$4:$D$203,2)</f>
        <v>0</v>
      </c>
      <c r="R7" s="18">
        <f>COUNTIFS('Season Log'!$C$4:$C$203,$A7,'Season Log'!$G$4:$G$203,"Post",'Season Log'!$B$4:$B$203,"&lt;&gt;Finals",'Season Log'!$D$4:$D$203,3)</f>
        <v>0</v>
      </c>
      <c r="S7" s="18">
        <f>COUNTIFS('Season Log'!$C$4:$C$203,$A7,'Season Log'!$G$4:$G$203,"Post",'Season Log'!$B$4:$B$203,"&lt;&gt;Finals",'Season Log'!$D$4:$D$203,4)</f>
        <v>0</v>
      </c>
      <c r="T7" s="18">
        <f>COUNTIFS('Season Log'!$C$4:$C$203,$A7,'Season Log'!$G$4:$G$203,"Post",'Season Log'!$B$4:$B$203,"&lt;&gt;Finals",'Season Log'!$D$4:$D$203,5)</f>
        <v>0</v>
      </c>
      <c r="U7" s="18">
        <f>COUNTIFS('Season Log'!$C$4:$C$203,$A7,'Season Log'!$G$4:$G$203,"Post",'Season Log'!$B$4:$B$203,"&lt;&gt;Finals",'Season Log'!$D$4:$D$203,6)</f>
        <v>0</v>
      </c>
      <c r="V7" s="18">
        <f>COUNTIFS('Season Log'!$C$4:$C$203,$A7,'Season Log'!$G$4:$G$203,"Post",'Season Log'!$B$4:$B$203,"&lt;&gt;Finals",'Season Log'!$D$4:$D$203,7)</f>
        <v>0</v>
      </c>
      <c r="W7" s="18">
        <f>COUNTIFS('Season Log'!$C$4:$C$203,$A7,'Season Log'!$G$4:$G$203,"Post",'Season Log'!$B$4:$B$203,"&lt;&gt;Finals",'Season Log'!$D$4:$D$203,8)</f>
        <v>0</v>
      </c>
      <c r="X7" s="18">
        <f>COUNTIFS('Season Log'!$C$4:$C$203,$A7,'Season Log'!$G$4:$G$203,"Post",'Season Log'!$B$4:$B$203,"&lt;&gt;Finals",'Season Log'!$D$4:$D$203,9)</f>
        <v>0</v>
      </c>
      <c r="Y7" s="18">
        <f>COUNTIFS('Season Log'!$C$4:$C$203,$A7,'Season Log'!$G$4:$G$203,"Post",'Season Log'!$B$4:$B$203,"&lt;&gt;Finals",'Season Log'!$D$4:$D$203,10)</f>
        <v>0</v>
      </c>
      <c r="Z7" s="18">
        <f>COUNTIFS('Season Log'!$C$4:$C$203,$A7,'Season Log'!$G$4:$G$203,"Post",'Season Log'!$B$4:$B$203,"&lt;&gt;Finals",'Season Log'!$D$4:$D$203,11)</f>
        <v>0</v>
      </c>
      <c r="AA7" s="18">
        <f>COUNTIFS('Season Log'!$C$4:$C$203,$A7,'Season Log'!$G$4:$G$203,"Post",'Season Log'!$B$4:$B$203,"&lt;&gt;Finals",'Season Log'!$D$4:$D$203,12)</f>
        <v>0</v>
      </c>
      <c r="AB7" s="18">
        <f>COUNTIFS('Season Log'!$C$4:$C$203,$A7,'Season Log'!$G$4:$G$203,"Post",'Season Log'!$B$4:$B$203,"&lt;&gt;Finals",'Season Log'!$D$4:$D$203,13)</f>
        <v>0</v>
      </c>
      <c r="AC7" s="18">
        <f t="shared" si="1"/>
        <v>0</v>
      </c>
      <c r="AD7" s="18">
        <f>COUNTIFS('Season Log'!$C$4:$C$203,$A7,'Season Log'!$G$4:$G$203,"Pre",'Season Log'!$B$4:$B$203,"&lt;&gt;Finals",'Season Log'!$E$4:$E$203,1)</f>
        <v>0</v>
      </c>
      <c r="AE7" s="18">
        <f>COUNTIFS('Season Log'!$C$4:$C$203,$A7,'Season Log'!$G$4:$G$203,"Pre",'Season Log'!$B$4:$B$203,"&lt;&gt;Finals",'Season Log'!$E$4:$E$203,2)</f>
        <v>0</v>
      </c>
      <c r="AF7" s="18">
        <f>COUNTIFS('Season Log'!$C$4:$C$203,$A7,'Season Log'!$G$4:$G$203,"Pre",'Season Log'!$B$4:$B$203,"&lt;&gt;Finals",'Season Log'!$E$4:$E$203,3)</f>
        <v>0</v>
      </c>
      <c r="AG7" s="18">
        <f>COUNTIFS('Season Log'!$C$4:$C$203,$A7,'Season Log'!$G$4:$G$203,"Pre",'Season Log'!$B$4:$B$203,"&lt;&gt;Finals",'Season Log'!$E$4:$E$203,4)</f>
        <v>0</v>
      </c>
      <c r="AH7" s="18">
        <f>COUNTIFS('Season Log'!$C$4:$C$203,$A7,'Season Log'!$G$4:$G$203,"Pre",'Season Log'!$B$4:$B$203,"&lt;&gt;Finals",'Season Log'!$E$4:$E$203,5)</f>
        <v>0</v>
      </c>
      <c r="AI7" s="18">
        <f>COUNTIFS('Season Log'!$C$4:$C$203,$A7,'Season Log'!$G$4:$G$203,"Pre",'Season Log'!$B$4:$B$203,"&lt;&gt;Finals",'Season Log'!$E$4:$E$203,6)</f>
        <v>0</v>
      </c>
      <c r="AJ7" s="18">
        <f>COUNTIFS('Season Log'!$C$4:$C$203,$A7,'Season Log'!$G$4:$G$203,"Pre",'Season Log'!$B$4:$B$203,"&lt;&gt;Finals",'Season Log'!$E$4:$E$203,7)</f>
        <v>0</v>
      </c>
      <c r="AK7" s="18">
        <f>COUNTIFS('Season Log'!$C$4:$C$203,$A7,'Season Log'!$G$4:$G$203,"Pre",'Season Log'!$B$4:$B$203,"&lt;&gt;Finals",'Season Log'!$E$4:$E$203,8)</f>
        <v>0</v>
      </c>
      <c r="AL7" s="18">
        <f>COUNTIFS('Season Log'!$C$4:$C$203,$A7,'Season Log'!$G$4:$G$203,"Pre",'Season Log'!$B$4:$B$203,"&lt;&gt;Finals",'Season Log'!$E$4:$E$203,9)</f>
        <v>0</v>
      </c>
      <c r="AM7" s="18">
        <f>COUNTIFS('Season Log'!$C$4:$C$203,$A7,'Season Log'!$G$4:$G$203,"Pre",'Season Log'!$B$4:$B$203,"&lt;&gt;Finals",'Season Log'!$E$4:$E$203,10)</f>
        <v>0</v>
      </c>
      <c r="AN7" s="18">
        <f>COUNTIFS('Season Log'!$C$4:$C$203,$A7,'Season Log'!$G$4:$G$203,"Pre",'Season Log'!$B$4:$B$203,"&lt;&gt;Finals",'Season Log'!$E$4:$E$203,11)</f>
        <v>0</v>
      </c>
      <c r="AO7" s="18">
        <f>COUNTIFS('Season Log'!$C$4:$C$203,$A7,'Season Log'!$G$4:$G$203,"Pre",'Season Log'!$B$4:$B$203,"&lt;&gt;Finals",'Season Log'!$E$4:$E$203,12)</f>
        <v>0</v>
      </c>
      <c r="AP7" s="18">
        <f>COUNTIFS('Season Log'!$C$4:$C$203,$A7,'Season Log'!$G$4:$G$203,"Pre",'Season Log'!$B$4:$B$203,"&lt;&gt;Finals",'Season Log'!$E$4:$E$203,13)</f>
        <v>0</v>
      </c>
      <c r="AQ7" s="18">
        <f t="shared" si="2"/>
        <v>0</v>
      </c>
      <c r="AR7" s="18">
        <f>COUNTIFS('Season Log'!$C$4:$C$203,$A7,'Season Log'!$G$4:$G$203,"Post",'Season Log'!$B$4:$B$203,"&lt;&gt;Finals",'Season Log'!$E$4:$E$203,1)</f>
        <v>0</v>
      </c>
      <c r="AS7" s="18">
        <f>COUNTIFS('Season Log'!$C$4:$C$203,$A7,'Season Log'!$G$4:$G$203,"Post",'Season Log'!$B$4:$B$203,"&lt;&gt;Finals",'Season Log'!$E$4:$E$203,2)</f>
        <v>0</v>
      </c>
      <c r="AT7" s="18">
        <f>COUNTIFS('Season Log'!$C$4:$C$203,$A7,'Season Log'!$G$4:$G$203,"Post",'Season Log'!$B$4:$B$203,"&lt;&gt;Finals",'Season Log'!$E$4:$E$203,3)</f>
        <v>0</v>
      </c>
      <c r="AU7" s="18">
        <f>COUNTIFS('Season Log'!$C$4:$C$203,$A7,'Season Log'!$G$4:$G$203,"Post",'Season Log'!$B$4:$B$203,"&lt;&gt;Finals",'Season Log'!$E$4:$E$203,4)</f>
        <v>0</v>
      </c>
      <c r="AV7" s="18">
        <f>COUNTIFS('Season Log'!$C$4:$C$203,$A7,'Season Log'!$G$4:$G$203,"Post",'Season Log'!$B$4:$B$203,"&lt;&gt;Finals",'Season Log'!$E$4:$E$203,5)</f>
        <v>0</v>
      </c>
      <c r="AW7" s="18">
        <f>COUNTIFS('Season Log'!$C$4:$C$203,$A7,'Season Log'!$G$4:$G$203,"Post",'Season Log'!$B$4:$B$203,"&lt;&gt;Finals",'Season Log'!$E$4:$E$203,6)</f>
        <v>0</v>
      </c>
      <c r="AX7" s="18">
        <f>COUNTIFS('Season Log'!$C$4:$C$203,$A7,'Season Log'!$G$4:$G$203,"Post",'Season Log'!$B$4:$B$203,"&lt;&gt;Finals",'Season Log'!$E$4:$E$203,7)</f>
        <v>0</v>
      </c>
      <c r="AY7" s="18">
        <f>COUNTIFS('Season Log'!$C$4:$C$203,$A7,'Season Log'!$G$4:$G$203,"Post",'Season Log'!$B$4:$B$203,"&lt;&gt;Finals",'Season Log'!$E$4:$E$203,8)</f>
        <v>0</v>
      </c>
      <c r="AZ7" s="18">
        <f>COUNTIFS('Season Log'!$C$4:$C$203,$A7,'Season Log'!$G$4:$G$203,"Post",'Season Log'!$B$4:$B$203,"&lt;&gt;Finals",'Season Log'!$E$4:$E$203,9)</f>
        <v>0</v>
      </c>
      <c r="BA7" s="18">
        <f>COUNTIFS('Season Log'!$C$4:$C$203,$A7,'Season Log'!$G$4:$G$203,"Post",'Season Log'!$B$4:$B$203,"&lt;&gt;Finals",'Season Log'!$E$4:$E$203,10)</f>
        <v>0</v>
      </c>
      <c r="BB7" s="18">
        <f>COUNTIFS('Season Log'!$C$4:$C$203,$A7,'Season Log'!$G$4:$G$203,"Post",'Season Log'!$B$4:$B$203,"&lt;&gt;Finals",'Season Log'!$E$4:$E$203,11)</f>
        <v>0</v>
      </c>
      <c r="BC7" s="18">
        <f>COUNTIFS('Season Log'!$C$4:$C$203,$A7,'Season Log'!$G$4:$G$203,"Post",'Season Log'!$B$4:$B$203,"&lt;&gt;Finals",'Season Log'!$E$4:$E$203,12)</f>
        <v>0</v>
      </c>
      <c r="BD7" s="18">
        <f>COUNTIFS('Season Log'!$C$4:$C$203,$A7,'Season Log'!$G$4:$G$203,"Post",'Season Log'!$B$4:$B$203,"&lt;&gt;Finals",'Season Log'!$E$4:$E$203,13)</f>
        <v>0</v>
      </c>
      <c r="BE7" s="18">
        <f t="shared" si="3"/>
        <v>0</v>
      </c>
      <c r="BF7" s="18" t="str">
        <f>IF(OR($A7="",IFERROR(INDEX(Setup!$C$18:$C$31,MATCH($A7,Setup!$B$18:$B$31,0)),"No")&lt;&gt;"Yes"),"",IF(AND(Setup!$B$3&lt;&gt;"Stage 2",Setup!$B$3&lt;&gt;"Stage 3"),"Stage 2/3 not selected",IF(Setup!$B$11="Finals","Finals - rotation waived",IF(AND($O7&gt;=5,$AC7&gt;=5,$AQ7&gt;=5,$BE7&gt;=5),"OK","Needs rotation"))))</f>
        <v>Stage 2/3 not selected</v>
      </c>
    </row>
    <row r="8" spans="1:58" ht="15" customHeight="1">
      <c r="A8" s="18" t="str">
        <f>Setup!$B$20</f>
        <v>Player 3</v>
      </c>
      <c r="B8" s="18">
        <f>COUNTIFS('Season Log'!$C$4:$C$203,$A8,'Season Log'!$G$4:$G$203,"Pre",'Season Log'!$B$4:$B$203,"&lt;&gt;Finals",'Season Log'!$D$4:$D$203,1)</f>
        <v>0</v>
      </c>
      <c r="C8" s="18">
        <f>COUNTIFS('Season Log'!$C$4:$C$203,$A8,'Season Log'!$G$4:$G$203,"Pre",'Season Log'!$B$4:$B$203,"&lt;&gt;Finals",'Season Log'!$D$4:$D$203,2)</f>
        <v>0</v>
      </c>
      <c r="D8" s="18">
        <f>COUNTIFS('Season Log'!$C$4:$C$203,$A8,'Season Log'!$G$4:$G$203,"Pre",'Season Log'!$B$4:$B$203,"&lt;&gt;Finals",'Season Log'!$D$4:$D$203,3)</f>
        <v>0</v>
      </c>
      <c r="E8" s="18">
        <f>COUNTIFS('Season Log'!$C$4:$C$203,$A8,'Season Log'!$G$4:$G$203,"Pre",'Season Log'!$B$4:$B$203,"&lt;&gt;Finals",'Season Log'!$D$4:$D$203,4)</f>
        <v>0</v>
      </c>
      <c r="F8" s="18">
        <f>COUNTIFS('Season Log'!$C$4:$C$203,$A8,'Season Log'!$G$4:$G$203,"Pre",'Season Log'!$B$4:$B$203,"&lt;&gt;Finals",'Season Log'!$D$4:$D$203,5)</f>
        <v>0</v>
      </c>
      <c r="G8" s="18">
        <f>COUNTIFS('Season Log'!$C$4:$C$203,$A8,'Season Log'!$G$4:$G$203,"Pre",'Season Log'!$B$4:$B$203,"&lt;&gt;Finals",'Season Log'!$D$4:$D$203,6)</f>
        <v>0</v>
      </c>
      <c r="H8" s="18">
        <f>COUNTIFS('Season Log'!$C$4:$C$203,$A8,'Season Log'!$G$4:$G$203,"Pre",'Season Log'!$B$4:$B$203,"&lt;&gt;Finals",'Season Log'!$D$4:$D$203,7)</f>
        <v>0</v>
      </c>
      <c r="I8" s="18">
        <f>COUNTIFS('Season Log'!$C$4:$C$203,$A8,'Season Log'!$G$4:$G$203,"Pre",'Season Log'!$B$4:$B$203,"&lt;&gt;Finals",'Season Log'!$D$4:$D$203,8)</f>
        <v>0</v>
      </c>
      <c r="J8" s="18">
        <f>COUNTIFS('Season Log'!$C$4:$C$203,$A8,'Season Log'!$G$4:$G$203,"Pre",'Season Log'!$B$4:$B$203,"&lt;&gt;Finals",'Season Log'!$D$4:$D$203,9)</f>
        <v>0</v>
      </c>
      <c r="K8" s="18">
        <f>COUNTIFS('Season Log'!$C$4:$C$203,$A8,'Season Log'!$G$4:$G$203,"Pre",'Season Log'!$B$4:$B$203,"&lt;&gt;Finals",'Season Log'!$D$4:$D$203,10)</f>
        <v>0</v>
      </c>
      <c r="L8" s="18">
        <f>COUNTIFS('Season Log'!$C$4:$C$203,$A8,'Season Log'!$G$4:$G$203,"Pre",'Season Log'!$B$4:$B$203,"&lt;&gt;Finals",'Season Log'!$D$4:$D$203,11)</f>
        <v>0</v>
      </c>
      <c r="M8" s="18">
        <f>COUNTIFS('Season Log'!$C$4:$C$203,$A8,'Season Log'!$G$4:$G$203,"Pre",'Season Log'!$B$4:$B$203,"&lt;&gt;Finals",'Season Log'!$D$4:$D$203,12)</f>
        <v>0</v>
      </c>
      <c r="N8" s="18">
        <f>COUNTIFS('Season Log'!$C$4:$C$203,$A8,'Season Log'!$G$4:$G$203,"Pre",'Season Log'!$B$4:$B$203,"&lt;&gt;Finals",'Season Log'!$D$4:$D$203,13)</f>
        <v>0</v>
      </c>
      <c r="O8" s="18">
        <f t="shared" si="0"/>
        <v>0</v>
      </c>
      <c r="P8" s="18">
        <f>COUNTIFS('Season Log'!$C$4:$C$203,$A8,'Season Log'!$G$4:$G$203,"Post",'Season Log'!$B$4:$B$203,"&lt;&gt;Finals",'Season Log'!$D$4:$D$203,1)</f>
        <v>0</v>
      </c>
      <c r="Q8" s="18">
        <f>COUNTIFS('Season Log'!$C$4:$C$203,$A8,'Season Log'!$G$4:$G$203,"Post",'Season Log'!$B$4:$B$203,"&lt;&gt;Finals",'Season Log'!$D$4:$D$203,2)</f>
        <v>0</v>
      </c>
      <c r="R8" s="18">
        <f>COUNTIFS('Season Log'!$C$4:$C$203,$A8,'Season Log'!$G$4:$G$203,"Post",'Season Log'!$B$4:$B$203,"&lt;&gt;Finals",'Season Log'!$D$4:$D$203,3)</f>
        <v>0</v>
      </c>
      <c r="S8" s="18">
        <f>COUNTIFS('Season Log'!$C$4:$C$203,$A8,'Season Log'!$G$4:$G$203,"Post",'Season Log'!$B$4:$B$203,"&lt;&gt;Finals",'Season Log'!$D$4:$D$203,4)</f>
        <v>0</v>
      </c>
      <c r="T8" s="18">
        <f>COUNTIFS('Season Log'!$C$4:$C$203,$A8,'Season Log'!$G$4:$G$203,"Post",'Season Log'!$B$4:$B$203,"&lt;&gt;Finals",'Season Log'!$D$4:$D$203,5)</f>
        <v>0</v>
      </c>
      <c r="U8" s="18">
        <f>COUNTIFS('Season Log'!$C$4:$C$203,$A8,'Season Log'!$G$4:$G$203,"Post",'Season Log'!$B$4:$B$203,"&lt;&gt;Finals",'Season Log'!$D$4:$D$203,6)</f>
        <v>0</v>
      </c>
      <c r="V8" s="18">
        <f>COUNTIFS('Season Log'!$C$4:$C$203,$A8,'Season Log'!$G$4:$G$203,"Post",'Season Log'!$B$4:$B$203,"&lt;&gt;Finals",'Season Log'!$D$4:$D$203,7)</f>
        <v>0</v>
      </c>
      <c r="W8" s="18">
        <f>COUNTIFS('Season Log'!$C$4:$C$203,$A8,'Season Log'!$G$4:$G$203,"Post",'Season Log'!$B$4:$B$203,"&lt;&gt;Finals",'Season Log'!$D$4:$D$203,8)</f>
        <v>0</v>
      </c>
      <c r="X8" s="18">
        <f>COUNTIFS('Season Log'!$C$4:$C$203,$A8,'Season Log'!$G$4:$G$203,"Post",'Season Log'!$B$4:$B$203,"&lt;&gt;Finals",'Season Log'!$D$4:$D$203,9)</f>
        <v>0</v>
      </c>
      <c r="Y8" s="18">
        <f>COUNTIFS('Season Log'!$C$4:$C$203,$A8,'Season Log'!$G$4:$G$203,"Post",'Season Log'!$B$4:$B$203,"&lt;&gt;Finals",'Season Log'!$D$4:$D$203,10)</f>
        <v>0</v>
      </c>
      <c r="Z8" s="18">
        <f>COUNTIFS('Season Log'!$C$4:$C$203,$A8,'Season Log'!$G$4:$G$203,"Post",'Season Log'!$B$4:$B$203,"&lt;&gt;Finals",'Season Log'!$D$4:$D$203,11)</f>
        <v>0</v>
      </c>
      <c r="AA8" s="18">
        <f>COUNTIFS('Season Log'!$C$4:$C$203,$A8,'Season Log'!$G$4:$G$203,"Post",'Season Log'!$B$4:$B$203,"&lt;&gt;Finals",'Season Log'!$D$4:$D$203,12)</f>
        <v>0</v>
      </c>
      <c r="AB8" s="18">
        <f>COUNTIFS('Season Log'!$C$4:$C$203,$A8,'Season Log'!$G$4:$G$203,"Post",'Season Log'!$B$4:$B$203,"&lt;&gt;Finals",'Season Log'!$D$4:$D$203,13)</f>
        <v>0</v>
      </c>
      <c r="AC8" s="18">
        <f t="shared" si="1"/>
        <v>0</v>
      </c>
      <c r="AD8" s="18">
        <f>COUNTIFS('Season Log'!$C$4:$C$203,$A8,'Season Log'!$G$4:$G$203,"Pre",'Season Log'!$B$4:$B$203,"&lt;&gt;Finals",'Season Log'!$E$4:$E$203,1)</f>
        <v>0</v>
      </c>
      <c r="AE8" s="18">
        <f>COUNTIFS('Season Log'!$C$4:$C$203,$A8,'Season Log'!$G$4:$G$203,"Pre",'Season Log'!$B$4:$B$203,"&lt;&gt;Finals",'Season Log'!$E$4:$E$203,2)</f>
        <v>0</v>
      </c>
      <c r="AF8" s="18">
        <f>COUNTIFS('Season Log'!$C$4:$C$203,$A8,'Season Log'!$G$4:$G$203,"Pre",'Season Log'!$B$4:$B$203,"&lt;&gt;Finals",'Season Log'!$E$4:$E$203,3)</f>
        <v>0</v>
      </c>
      <c r="AG8" s="18">
        <f>COUNTIFS('Season Log'!$C$4:$C$203,$A8,'Season Log'!$G$4:$G$203,"Pre",'Season Log'!$B$4:$B$203,"&lt;&gt;Finals",'Season Log'!$E$4:$E$203,4)</f>
        <v>0</v>
      </c>
      <c r="AH8" s="18">
        <f>COUNTIFS('Season Log'!$C$4:$C$203,$A8,'Season Log'!$G$4:$G$203,"Pre",'Season Log'!$B$4:$B$203,"&lt;&gt;Finals",'Season Log'!$E$4:$E$203,5)</f>
        <v>0</v>
      </c>
      <c r="AI8" s="18">
        <f>COUNTIFS('Season Log'!$C$4:$C$203,$A8,'Season Log'!$G$4:$G$203,"Pre",'Season Log'!$B$4:$B$203,"&lt;&gt;Finals",'Season Log'!$E$4:$E$203,6)</f>
        <v>0</v>
      </c>
      <c r="AJ8" s="18">
        <f>COUNTIFS('Season Log'!$C$4:$C$203,$A8,'Season Log'!$G$4:$G$203,"Pre",'Season Log'!$B$4:$B$203,"&lt;&gt;Finals",'Season Log'!$E$4:$E$203,7)</f>
        <v>0</v>
      </c>
      <c r="AK8" s="18">
        <f>COUNTIFS('Season Log'!$C$4:$C$203,$A8,'Season Log'!$G$4:$G$203,"Pre",'Season Log'!$B$4:$B$203,"&lt;&gt;Finals",'Season Log'!$E$4:$E$203,8)</f>
        <v>0</v>
      </c>
      <c r="AL8" s="18">
        <f>COUNTIFS('Season Log'!$C$4:$C$203,$A8,'Season Log'!$G$4:$G$203,"Pre",'Season Log'!$B$4:$B$203,"&lt;&gt;Finals",'Season Log'!$E$4:$E$203,9)</f>
        <v>0</v>
      </c>
      <c r="AM8" s="18">
        <f>COUNTIFS('Season Log'!$C$4:$C$203,$A8,'Season Log'!$G$4:$G$203,"Pre",'Season Log'!$B$4:$B$203,"&lt;&gt;Finals",'Season Log'!$E$4:$E$203,10)</f>
        <v>0</v>
      </c>
      <c r="AN8" s="18">
        <f>COUNTIFS('Season Log'!$C$4:$C$203,$A8,'Season Log'!$G$4:$G$203,"Pre",'Season Log'!$B$4:$B$203,"&lt;&gt;Finals",'Season Log'!$E$4:$E$203,11)</f>
        <v>0</v>
      </c>
      <c r="AO8" s="18">
        <f>COUNTIFS('Season Log'!$C$4:$C$203,$A8,'Season Log'!$G$4:$G$203,"Pre",'Season Log'!$B$4:$B$203,"&lt;&gt;Finals",'Season Log'!$E$4:$E$203,12)</f>
        <v>0</v>
      </c>
      <c r="AP8" s="18">
        <f>COUNTIFS('Season Log'!$C$4:$C$203,$A8,'Season Log'!$G$4:$G$203,"Pre",'Season Log'!$B$4:$B$203,"&lt;&gt;Finals",'Season Log'!$E$4:$E$203,13)</f>
        <v>0</v>
      </c>
      <c r="AQ8" s="18">
        <f t="shared" si="2"/>
        <v>0</v>
      </c>
      <c r="AR8" s="18">
        <f>COUNTIFS('Season Log'!$C$4:$C$203,$A8,'Season Log'!$G$4:$G$203,"Post",'Season Log'!$B$4:$B$203,"&lt;&gt;Finals",'Season Log'!$E$4:$E$203,1)</f>
        <v>0</v>
      </c>
      <c r="AS8" s="18">
        <f>COUNTIFS('Season Log'!$C$4:$C$203,$A8,'Season Log'!$G$4:$G$203,"Post",'Season Log'!$B$4:$B$203,"&lt;&gt;Finals",'Season Log'!$E$4:$E$203,2)</f>
        <v>0</v>
      </c>
      <c r="AT8" s="18">
        <f>COUNTIFS('Season Log'!$C$4:$C$203,$A8,'Season Log'!$G$4:$G$203,"Post",'Season Log'!$B$4:$B$203,"&lt;&gt;Finals",'Season Log'!$E$4:$E$203,3)</f>
        <v>0</v>
      </c>
      <c r="AU8" s="18">
        <f>COUNTIFS('Season Log'!$C$4:$C$203,$A8,'Season Log'!$G$4:$G$203,"Post",'Season Log'!$B$4:$B$203,"&lt;&gt;Finals",'Season Log'!$E$4:$E$203,4)</f>
        <v>0</v>
      </c>
      <c r="AV8" s="18">
        <f>COUNTIFS('Season Log'!$C$4:$C$203,$A8,'Season Log'!$G$4:$G$203,"Post",'Season Log'!$B$4:$B$203,"&lt;&gt;Finals",'Season Log'!$E$4:$E$203,5)</f>
        <v>0</v>
      </c>
      <c r="AW8" s="18">
        <f>COUNTIFS('Season Log'!$C$4:$C$203,$A8,'Season Log'!$G$4:$G$203,"Post",'Season Log'!$B$4:$B$203,"&lt;&gt;Finals",'Season Log'!$E$4:$E$203,6)</f>
        <v>0</v>
      </c>
      <c r="AX8" s="18">
        <f>COUNTIFS('Season Log'!$C$4:$C$203,$A8,'Season Log'!$G$4:$G$203,"Post",'Season Log'!$B$4:$B$203,"&lt;&gt;Finals",'Season Log'!$E$4:$E$203,7)</f>
        <v>0</v>
      </c>
      <c r="AY8" s="18">
        <f>COUNTIFS('Season Log'!$C$4:$C$203,$A8,'Season Log'!$G$4:$G$203,"Post",'Season Log'!$B$4:$B$203,"&lt;&gt;Finals",'Season Log'!$E$4:$E$203,8)</f>
        <v>0</v>
      </c>
      <c r="AZ8" s="18">
        <f>COUNTIFS('Season Log'!$C$4:$C$203,$A8,'Season Log'!$G$4:$G$203,"Post",'Season Log'!$B$4:$B$203,"&lt;&gt;Finals",'Season Log'!$E$4:$E$203,9)</f>
        <v>0</v>
      </c>
      <c r="BA8" s="18">
        <f>COUNTIFS('Season Log'!$C$4:$C$203,$A8,'Season Log'!$G$4:$G$203,"Post",'Season Log'!$B$4:$B$203,"&lt;&gt;Finals",'Season Log'!$E$4:$E$203,10)</f>
        <v>0</v>
      </c>
      <c r="BB8" s="18">
        <f>COUNTIFS('Season Log'!$C$4:$C$203,$A8,'Season Log'!$G$4:$G$203,"Post",'Season Log'!$B$4:$B$203,"&lt;&gt;Finals",'Season Log'!$E$4:$E$203,11)</f>
        <v>0</v>
      </c>
      <c r="BC8" s="18">
        <f>COUNTIFS('Season Log'!$C$4:$C$203,$A8,'Season Log'!$G$4:$G$203,"Post",'Season Log'!$B$4:$B$203,"&lt;&gt;Finals",'Season Log'!$E$4:$E$203,12)</f>
        <v>0</v>
      </c>
      <c r="BD8" s="18">
        <f>COUNTIFS('Season Log'!$C$4:$C$203,$A8,'Season Log'!$G$4:$G$203,"Post",'Season Log'!$B$4:$B$203,"&lt;&gt;Finals",'Season Log'!$E$4:$E$203,13)</f>
        <v>0</v>
      </c>
      <c r="BE8" s="18">
        <f t="shared" si="3"/>
        <v>0</v>
      </c>
      <c r="BF8" s="18" t="str">
        <f>IF(OR($A8="",IFERROR(INDEX(Setup!$C$18:$C$31,MATCH($A8,Setup!$B$18:$B$31,0)),"No")&lt;&gt;"Yes"),"",IF(AND(Setup!$B$3&lt;&gt;"Stage 2",Setup!$B$3&lt;&gt;"Stage 3"),"Stage 2/3 not selected",IF(Setup!$B$11="Finals","Finals - rotation waived",IF(AND($O8&gt;=5,$AC8&gt;=5,$AQ8&gt;=5,$BE8&gt;=5),"OK","Needs rotation"))))</f>
        <v>Stage 2/3 not selected</v>
      </c>
    </row>
    <row r="9" spans="1:58" ht="15" customHeight="1">
      <c r="A9" s="18" t="str">
        <f>Setup!$B$21</f>
        <v>Player 4</v>
      </c>
      <c r="B9" s="18">
        <f>COUNTIFS('Season Log'!$C$4:$C$203,$A9,'Season Log'!$G$4:$G$203,"Pre",'Season Log'!$B$4:$B$203,"&lt;&gt;Finals",'Season Log'!$D$4:$D$203,1)</f>
        <v>0</v>
      </c>
      <c r="C9" s="18">
        <f>COUNTIFS('Season Log'!$C$4:$C$203,$A9,'Season Log'!$G$4:$G$203,"Pre",'Season Log'!$B$4:$B$203,"&lt;&gt;Finals",'Season Log'!$D$4:$D$203,2)</f>
        <v>0</v>
      </c>
      <c r="D9" s="18">
        <f>COUNTIFS('Season Log'!$C$4:$C$203,$A9,'Season Log'!$G$4:$G$203,"Pre",'Season Log'!$B$4:$B$203,"&lt;&gt;Finals",'Season Log'!$D$4:$D$203,3)</f>
        <v>0</v>
      </c>
      <c r="E9" s="18">
        <f>COUNTIFS('Season Log'!$C$4:$C$203,$A9,'Season Log'!$G$4:$G$203,"Pre",'Season Log'!$B$4:$B$203,"&lt;&gt;Finals",'Season Log'!$D$4:$D$203,4)</f>
        <v>0</v>
      </c>
      <c r="F9" s="18">
        <f>COUNTIFS('Season Log'!$C$4:$C$203,$A9,'Season Log'!$G$4:$G$203,"Pre",'Season Log'!$B$4:$B$203,"&lt;&gt;Finals",'Season Log'!$D$4:$D$203,5)</f>
        <v>0</v>
      </c>
      <c r="G9" s="18">
        <f>COUNTIFS('Season Log'!$C$4:$C$203,$A9,'Season Log'!$G$4:$G$203,"Pre",'Season Log'!$B$4:$B$203,"&lt;&gt;Finals",'Season Log'!$D$4:$D$203,6)</f>
        <v>0</v>
      </c>
      <c r="H9" s="18">
        <f>COUNTIFS('Season Log'!$C$4:$C$203,$A9,'Season Log'!$G$4:$G$203,"Pre",'Season Log'!$B$4:$B$203,"&lt;&gt;Finals",'Season Log'!$D$4:$D$203,7)</f>
        <v>0</v>
      </c>
      <c r="I9" s="18">
        <f>COUNTIFS('Season Log'!$C$4:$C$203,$A9,'Season Log'!$G$4:$G$203,"Pre",'Season Log'!$B$4:$B$203,"&lt;&gt;Finals",'Season Log'!$D$4:$D$203,8)</f>
        <v>0</v>
      </c>
      <c r="J9" s="18">
        <f>COUNTIFS('Season Log'!$C$4:$C$203,$A9,'Season Log'!$G$4:$G$203,"Pre",'Season Log'!$B$4:$B$203,"&lt;&gt;Finals",'Season Log'!$D$4:$D$203,9)</f>
        <v>0</v>
      </c>
      <c r="K9" s="18">
        <f>COUNTIFS('Season Log'!$C$4:$C$203,$A9,'Season Log'!$G$4:$G$203,"Pre",'Season Log'!$B$4:$B$203,"&lt;&gt;Finals",'Season Log'!$D$4:$D$203,10)</f>
        <v>0</v>
      </c>
      <c r="L9" s="18">
        <f>COUNTIFS('Season Log'!$C$4:$C$203,$A9,'Season Log'!$G$4:$G$203,"Pre",'Season Log'!$B$4:$B$203,"&lt;&gt;Finals",'Season Log'!$D$4:$D$203,11)</f>
        <v>0</v>
      </c>
      <c r="M9" s="18">
        <f>COUNTIFS('Season Log'!$C$4:$C$203,$A9,'Season Log'!$G$4:$G$203,"Pre",'Season Log'!$B$4:$B$203,"&lt;&gt;Finals",'Season Log'!$D$4:$D$203,12)</f>
        <v>0</v>
      </c>
      <c r="N9" s="18">
        <f>COUNTIFS('Season Log'!$C$4:$C$203,$A9,'Season Log'!$G$4:$G$203,"Pre",'Season Log'!$B$4:$B$203,"&lt;&gt;Finals",'Season Log'!$D$4:$D$203,13)</f>
        <v>0</v>
      </c>
      <c r="O9" s="18">
        <f t="shared" si="0"/>
        <v>0</v>
      </c>
      <c r="P9" s="18">
        <f>COUNTIFS('Season Log'!$C$4:$C$203,$A9,'Season Log'!$G$4:$G$203,"Post",'Season Log'!$B$4:$B$203,"&lt;&gt;Finals",'Season Log'!$D$4:$D$203,1)</f>
        <v>0</v>
      </c>
      <c r="Q9" s="18">
        <f>COUNTIFS('Season Log'!$C$4:$C$203,$A9,'Season Log'!$G$4:$G$203,"Post",'Season Log'!$B$4:$B$203,"&lt;&gt;Finals",'Season Log'!$D$4:$D$203,2)</f>
        <v>0</v>
      </c>
      <c r="R9" s="18">
        <f>COUNTIFS('Season Log'!$C$4:$C$203,$A9,'Season Log'!$G$4:$G$203,"Post",'Season Log'!$B$4:$B$203,"&lt;&gt;Finals",'Season Log'!$D$4:$D$203,3)</f>
        <v>0</v>
      </c>
      <c r="S9" s="18">
        <f>COUNTIFS('Season Log'!$C$4:$C$203,$A9,'Season Log'!$G$4:$G$203,"Post",'Season Log'!$B$4:$B$203,"&lt;&gt;Finals",'Season Log'!$D$4:$D$203,4)</f>
        <v>0</v>
      </c>
      <c r="T9" s="18">
        <f>COUNTIFS('Season Log'!$C$4:$C$203,$A9,'Season Log'!$G$4:$G$203,"Post",'Season Log'!$B$4:$B$203,"&lt;&gt;Finals",'Season Log'!$D$4:$D$203,5)</f>
        <v>0</v>
      </c>
      <c r="U9" s="18">
        <f>COUNTIFS('Season Log'!$C$4:$C$203,$A9,'Season Log'!$G$4:$G$203,"Post",'Season Log'!$B$4:$B$203,"&lt;&gt;Finals",'Season Log'!$D$4:$D$203,6)</f>
        <v>0</v>
      </c>
      <c r="V9" s="18">
        <f>COUNTIFS('Season Log'!$C$4:$C$203,$A9,'Season Log'!$G$4:$G$203,"Post",'Season Log'!$B$4:$B$203,"&lt;&gt;Finals",'Season Log'!$D$4:$D$203,7)</f>
        <v>0</v>
      </c>
      <c r="W9" s="18">
        <f>COUNTIFS('Season Log'!$C$4:$C$203,$A9,'Season Log'!$G$4:$G$203,"Post",'Season Log'!$B$4:$B$203,"&lt;&gt;Finals",'Season Log'!$D$4:$D$203,8)</f>
        <v>0</v>
      </c>
      <c r="X9" s="18">
        <f>COUNTIFS('Season Log'!$C$4:$C$203,$A9,'Season Log'!$G$4:$G$203,"Post",'Season Log'!$B$4:$B$203,"&lt;&gt;Finals",'Season Log'!$D$4:$D$203,9)</f>
        <v>0</v>
      </c>
      <c r="Y9" s="18">
        <f>COUNTIFS('Season Log'!$C$4:$C$203,$A9,'Season Log'!$G$4:$G$203,"Post",'Season Log'!$B$4:$B$203,"&lt;&gt;Finals",'Season Log'!$D$4:$D$203,10)</f>
        <v>0</v>
      </c>
      <c r="Z9" s="18">
        <f>COUNTIFS('Season Log'!$C$4:$C$203,$A9,'Season Log'!$G$4:$G$203,"Post",'Season Log'!$B$4:$B$203,"&lt;&gt;Finals",'Season Log'!$D$4:$D$203,11)</f>
        <v>0</v>
      </c>
      <c r="AA9" s="18">
        <f>COUNTIFS('Season Log'!$C$4:$C$203,$A9,'Season Log'!$G$4:$G$203,"Post",'Season Log'!$B$4:$B$203,"&lt;&gt;Finals",'Season Log'!$D$4:$D$203,12)</f>
        <v>0</v>
      </c>
      <c r="AB9" s="18">
        <f>COUNTIFS('Season Log'!$C$4:$C$203,$A9,'Season Log'!$G$4:$G$203,"Post",'Season Log'!$B$4:$B$203,"&lt;&gt;Finals",'Season Log'!$D$4:$D$203,13)</f>
        <v>0</v>
      </c>
      <c r="AC9" s="18">
        <f t="shared" si="1"/>
        <v>0</v>
      </c>
      <c r="AD9" s="18">
        <f>COUNTIFS('Season Log'!$C$4:$C$203,$A9,'Season Log'!$G$4:$G$203,"Pre",'Season Log'!$B$4:$B$203,"&lt;&gt;Finals",'Season Log'!$E$4:$E$203,1)</f>
        <v>0</v>
      </c>
      <c r="AE9" s="18">
        <f>COUNTIFS('Season Log'!$C$4:$C$203,$A9,'Season Log'!$G$4:$G$203,"Pre",'Season Log'!$B$4:$B$203,"&lt;&gt;Finals",'Season Log'!$E$4:$E$203,2)</f>
        <v>0</v>
      </c>
      <c r="AF9" s="18">
        <f>COUNTIFS('Season Log'!$C$4:$C$203,$A9,'Season Log'!$G$4:$G$203,"Pre",'Season Log'!$B$4:$B$203,"&lt;&gt;Finals",'Season Log'!$E$4:$E$203,3)</f>
        <v>0</v>
      </c>
      <c r="AG9" s="18">
        <f>COUNTIFS('Season Log'!$C$4:$C$203,$A9,'Season Log'!$G$4:$G$203,"Pre",'Season Log'!$B$4:$B$203,"&lt;&gt;Finals",'Season Log'!$E$4:$E$203,4)</f>
        <v>0</v>
      </c>
      <c r="AH9" s="18">
        <f>COUNTIFS('Season Log'!$C$4:$C$203,$A9,'Season Log'!$G$4:$G$203,"Pre",'Season Log'!$B$4:$B$203,"&lt;&gt;Finals",'Season Log'!$E$4:$E$203,5)</f>
        <v>0</v>
      </c>
      <c r="AI9" s="18">
        <f>COUNTIFS('Season Log'!$C$4:$C$203,$A9,'Season Log'!$G$4:$G$203,"Pre",'Season Log'!$B$4:$B$203,"&lt;&gt;Finals",'Season Log'!$E$4:$E$203,6)</f>
        <v>0</v>
      </c>
      <c r="AJ9" s="18">
        <f>COUNTIFS('Season Log'!$C$4:$C$203,$A9,'Season Log'!$G$4:$G$203,"Pre",'Season Log'!$B$4:$B$203,"&lt;&gt;Finals",'Season Log'!$E$4:$E$203,7)</f>
        <v>0</v>
      </c>
      <c r="AK9" s="18">
        <f>COUNTIFS('Season Log'!$C$4:$C$203,$A9,'Season Log'!$G$4:$G$203,"Pre",'Season Log'!$B$4:$B$203,"&lt;&gt;Finals",'Season Log'!$E$4:$E$203,8)</f>
        <v>0</v>
      </c>
      <c r="AL9" s="18">
        <f>COUNTIFS('Season Log'!$C$4:$C$203,$A9,'Season Log'!$G$4:$G$203,"Pre",'Season Log'!$B$4:$B$203,"&lt;&gt;Finals",'Season Log'!$E$4:$E$203,9)</f>
        <v>0</v>
      </c>
      <c r="AM9" s="18">
        <f>COUNTIFS('Season Log'!$C$4:$C$203,$A9,'Season Log'!$G$4:$G$203,"Pre",'Season Log'!$B$4:$B$203,"&lt;&gt;Finals",'Season Log'!$E$4:$E$203,10)</f>
        <v>0</v>
      </c>
      <c r="AN9" s="18">
        <f>COUNTIFS('Season Log'!$C$4:$C$203,$A9,'Season Log'!$G$4:$G$203,"Pre",'Season Log'!$B$4:$B$203,"&lt;&gt;Finals",'Season Log'!$E$4:$E$203,11)</f>
        <v>0</v>
      </c>
      <c r="AO9" s="18">
        <f>COUNTIFS('Season Log'!$C$4:$C$203,$A9,'Season Log'!$G$4:$G$203,"Pre",'Season Log'!$B$4:$B$203,"&lt;&gt;Finals",'Season Log'!$E$4:$E$203,12)</f>
        <v>0</v>
      </c>
      <c r="AP9" s="18">
        <f>COUNTIFS('Season Log'!$C$4:$C$203,$A9,'Season Log'!$G$4:$G$203,"Pre",'Season Log'!$B$4:$B$203,"&lt;&gt;Finals",'Season Log'!$E$4:$E$203,13)</f>
        <v>0</v>
      </c>
      <c r="AQ9" s="18">
        <f t="shared" si="2"/>
        <v>0</v>
      </c>
      <c r="AR9" s="18">
        <f>COUNTIFS('Season Log'!$C$4:$C$203,$A9,'Season Log'!$G$4:$G$203,"Post",'Season Log'!$B$4:$B$203,"&lt;&gt;Finals",'Season Log'!$E$4:$E$203,1)</f>
        <v>0</v>
      </c>
      <c r="AS9" s="18">
        <f>COUNTIFS('Season Log'!$C$4:$C$203,$A9,'Season Log'!$G$4:$G$203,"Post",'Season Log'!$B$4:$B$203,"&lt;&gt;Finals",'Season Log'!$E$4:$E$203,2)</f>
        <v>0</v>
      </c>
      <c r="AT9" s="18">
        <f>COUNTIFS('Season Log'!$C$4:$C$203,$A9,'Season Log'!$G$4:$G$203,"Post",'Season Log'!$B$4:$B$203,"&lt;&gt;Finals",'Season Log'!$E$4:$E$203,3)</f>
        <v>0</v>
      </c>
      <c r="AU9" s="18">
        <f>COUNTIFS('Season Log'!$C$4:$C$203,$A9,'Season Log'!$G$4:$G$203,"Post",'Season Log'!$B$4:$B$203,"&lt;&gt;Finals",'Season Log'!$E$4:$E$203,4)</f>
        <v>0</v>
      </c>
      <c r="AV9" s="18">
        <f>COUNTIFS('Season Log'!$C$4:$C$203,$A9,'Season Log'!$G$4:$G$203,"Post",'Season Log'!$B$4:$B$203,"&lt;&gt;Finals",'Season Log'!$E$4:$E$203,5)</f>
        <v>0</v>
      </c>
      <c r="AW9" s="18">
        <f>COUNTIFS('Season Log'!$C$4:$C$203,$A9,'Season Log'!$G$4:$G$203,"Post",'Season Log'!$B$4:$B$203,"&lt;&gt;Finals",'Season Log'!$E$4:$E$203,6)</f>
        <v>0</v>
      </c>
      <c r="AX9" s="18">
        <f>COUNTIFS('Season Log'!$C$4:$C$203,$A9,'Season Log'!$G$4:$G$203,"Post",'Season Log'!$B$4:$B$203,"&lt;&gt;Finals",'Season Log'!$E$4:$E$203,7)</f>
        <v>0</v>
      </c>
      <c r="AY9" s="18">
        <f>COUNTIFS('Season Log'!$C$4:$C$203,$A9,'Season Log'!$G$4:$G$203,"Post",'Season Log'!$B$4:$B$203,"&lt;&gt;Finals",'Season Log'!$E$4:$E$203,8)</f>
        <v>0</v>
      </c>
      <c r="AZ9" s="18">
        <f>COUNTIFS('Season Log'!$C$4:$C$203,$A9,'Season Log'!$G$4:$G$203,"Post",'Season Log'!$B$4:$B$203,"&lt;&gt;Finals",'Season Log'!$E$4:$E$203,9)</f>
        <v>0</v>
      </c>
      <c r="BA9" s="18">
        <f>COUNTIFS('Season Log'!$C$4:$C$203,$A9,'Season Log'!$G$4:$G$203,"Post",'Season Log'!$B$4:$B$203,"&lt;&gt;Finals",'Season Log'!$E$4:$E$203,10)</f>
        <v>0</v>
      </c>
      <c r="BB9" s="18">
        <f>COUNTIFS('Season Log'!$C$4:$C$203,$A9,'Season Log'!$G$4:$G$203,"Post",'Season Log'!$B$4:$B$203,"&lt;&gt;Finals",'Season Log'!$E$4:$E$203,11)</f>
        <v>0</v>
      </c>
      <c r="BC9" s="18">
        <f>COUNTIFS('Season Log'!$C$4:$C$203,$A9,'Season Log'!$G$4:$G$203,"Post",'Season Log'!$B$4:$B$203,"&lt;&gt;Finals",'Season Log'!$E$4:$E$203,12)</f>
        <v>0</v>
      </c>
      <c r="BD9" s="18">
        <f>COUNTIFS('Season Log'!$C$4:$C$203,$A9,'Season Log'!$G$4:$G$203,"Post",'Season Log'!$B$4:$B$203,"&lt;&gt;Finals",'Season Log'!$E$4:$E$203,13)</f>
        <v>0</v>
      </c>
      <c r="BE9" s="18">
        <f t="shared" si="3"/>
        <v>0</v>
      </c>
      <c r="BF9" s="18" t="str">
        <f>IF(OR($A9="",IFERROR(INDEX(Setup!$C$18:$C$31,MATCH($A9,Setup!$B$18:$B$31,0)),"No")&lt;&gt;"Yes"),"",IF(AND(Setup!$B$3&lt;&gt;"Stage 2",Setup!$B$3&lt;&gt;"Stage 3"),"Stage 2/3 not selected",IF(Setup!$B$11="Finals","Finals - rotation waived",IF(AND($O9&gt;=5,$AC9&gt;=5,$AQ9&gt;=5,$BE9&gt;=5),"OK","Needs rotation"))))</f>
        <v>Stage 2/3 not selected</v>
      </c>
    </row>
    <row r="10" spans="1:58" ht="15" customHeight="1">
      <c r="A10" s="18" t="str">
        <f>Setup!$B$22</f>
        <v>Player 5</v>
      </c>
      <c r="B10" s="18">
        <f>COUNTIFS('Season Log'!$C$4:$C$203,$A10,'Season Log'!$G$4:$G$203,"Pre",'Season Log'!$B$4:$B$203,"&lt;&gt;Finals",'Season Log'!$D$4:$D$203,1)</f>
        <v>0</v>
      </c>
      <c r="C10" s="18">
        <f>COUNTIFS('Season Log'!$C$4:$C$203,$A10,'Season Log'!$G$4:$G$203,"Pre",'Season Log'!$B$4:$B$203,"&lt;&gt;Finals",'Season Log'!$D$4:$D$203,2)</f>
        <v>0</v>
      </c>
      <c r="D10" s="18">
        <f>COUNTIFS('Season Log'!$C$4:$C$203,$A10,'Season Log'!$G$4:$G$203,"Pre",'Season Log'!$B$4:$B$203,"&lt;&gt;Finals",'Season Log'!$D$4:$D$203,3)</f>
        <v>0</v>
      </c>
      <c r="E10" s="18">
        <f>COUNTIFS('Season Log'!$C$4:$C$203,$A10,'Season Log'!$G$4:$G$203,"Pre",'Season Log'!$B$4:$B$203,"&lt;&gt;Finals",'Season Log'!$D$4:$D$203,4)</f>
        <v>0</v>
      </c>
      <c r="F10" s="18">
        <f>COUNTIFS('Season Log'!$C$4:$C$203,$A10,'Season Log'!$G$4:$G$203,"Pre",'Season Log'!$B$4:$B$203,"&lt;&gt;Finals",'Season Log'!$D$4:$D$203,5)</f>
        <v>0</v>
      </c>
      <c r="G10" s="18">
        <f>COUNTIFS('Season Log'!$C$4:$C$203,$A10,'Season Log'!$G$4:$G$203,"Pre",'Season Log'!$B$4:$B$203,"&lt;&gt;Finals",'Season Log'!$D$4:$D$203,6)</f>
        <v>0</v>
      </c>
      <c r="H10" s="18">
        <f>COUNTIFS('Season Log'!$C$4:$C$203,$A10,'Season Log'!$G$4:$G$203,"Pre",'Season Log'!$B$4:$B$203,"&lt;&gt;Finals",'Season Log'!$D$4:$D$203,7)</f>
        <v>0</v>
      </c>
      <c r="I10" s="18">
        <f>COUNTIFS('Season Log'!$C$4:$C$203,$A10,'Season Log'!$G$4:$G$203,"Pre",'Season Log'!$B$4:$B$203,"&lt;&gt;Finals",'Season Log'!$D$4:$D$203,8)</f>
        <v>0</v>
      </c>
      <c r="J10" s="18">
        <f>COUNTIFS('Season Log'!$C$4:$C$203,$A10,'Season Log'!$G$4:$G$203,"Pre",'Season Log'!$B$4:$B$203,"&lt;&gt;Finals",'Season Log'!$D$4:$D$203,9)</f>
        <v>0</v>
      </c>
      <c r="K10" s="18">
        <f>COUNTIFS('Season Log'!$C$4:$C$203,$A10,'Season Log'!$G$4:$G$203,"Pre",'Season Log'!$B$4:$B$203,"&lt;&gt;Finals",'Season Log'!$D$4:$D$203,10)</f>
        <v>0</v>
      </c>
      <c r="L10" s="18">
        <f>COUNTIFS('Season Log'!$C$4:$C$203,$A10,'Season Log'!$G$4:$G$203,"Pre",'Season Log'!$B$4:$B$203,"&lt;&gt;Finals",'Season Log'!$D$4:$D$203,11)</f>
        <v>0</v>
      </c>
      <c r="M10" s="18">
        <f>COUNTIFS('Season Log'!$C$4:$C$203,$A10,'Season Log'!$G$4:$G$203,"Pre",'Season Log'!$B$4:$B$203,"&lt;&gt;Finals",'Season Log'!$D$4:$D$203,12)</f>
        <v>0</v>
      </c>
      <c r="N10" s="18">
        <f>COUNTIFS('Season Log'!$C$4:$C$203,$A10,'Season Log'!$G$4:$G$203,"Pre",'Season Log'!$B$4:$B$203,"&lt;&gt;Finals",'Season Log'!$D$4:$D$203,13)</f>
        <v>0</v>
      </c>
      <c r="O10" s="18">
        <f t="shared" si="0"/>
        <v>0</v>
      </c>
      <c r="P10" s="18">
        <f>COUNTIFS('Season Log'!$C$4:$C$203,$A10,'Season Log'!$G$4:$G$203,"Post",'Season Log'!$B$4:$B$203,"&lt;&gt;Finals",'Season Log'!$D$4:$D$203,1)</f>
        <v>0</v>
      </c>
      <c r="Q10" s="18">
        <f>COUNTIFS('Season Log'!$C$4:$C$203,$A10,'Season Log'!$G$4:$G$203,"Post",'Season Log'!$B$4:$B$203,"&lt;&gt;Finals",'Season Log'!$D$4:$D$203,2)</f>
        <v>0</v>
      </c>
      <c r="R10" s="18">
        <f>COUNTIFS('Season Log'!$C$4:$C$203,$A10,'Season Log'!$G$4:$G$203,"Post",'Season Log'!$B$4:$B$203,"&lt;&gt;Finals",'Season Log'!$D$4:$D$203,3)</f>
        <v>0</v>
      </c>
      <c r="S10" s="18">
        <f>COUNTIFS('Season Log'!$C$4:$C$203,$A10,'Season Log'!$G$4:$G$203,"Post",'Season Log'!$B$4:$B$203,"&lt;&gt;Finals",'Season Log'!$D$4:$D$203,4)</f>
        <v>0</v>
      </c>
      <c r="T10" s="18">
        <f>COUNTIFS('Season Log'!$C$4:$C$203,$A10,'Season Log'!$G$4:$G$203,"Post",'Season Log'!$B$4:$B$203,"&lt;&gt;Finals",'Season Log'!$D$4:$D$203,5)</f>
        <v>0</v>
      </c>
      <c r="U10" s="18">
        <f>COUNTIFS('Season Log'!$C$4:$C$203,$A10,'Season Log'!$G$4:$G$203,"Post",'Season Log'!$B$4:$B$203,"&lt;&gt;Finals",'Season Log'!$D$4:$D$203,6)</f>
        <v>0</v>
      </c>
      <c r="V10" s="18">
        <f>COUNTIFS('Season Log'!$C$4:$C$203,$A10,'Season Log'!$G$4:$G$203,"Post",'Season Log'!$B$4:$B$203,"&lt;&gt;Finals",'Season Log'!$D$4:$D$203,7)</f>
        <v>0</v>
      </c>
      <c r="W10" s="18">
        <f>COUNTIFS('Season Log'!$C$4:$C$203,$A10,'Season Log'!$G$4:$G$203,"Post",'Season Log'!$B$4:$B$203,"&lt;&gt;Finals",'Season Log'!$D$4:$D$203,8)</f>
        <v>0</v>
      </c>
      <c r="X10" s="18">
        <f>COUNTIFS('Season Log'!$C$4:$C$203,$A10,'Season Log'!$G$4:$G$203,"Post",'Season Log'!$B$4:$B$203,"&lt;&gt;Finals",'Season Log'!$D$4:$D$203,9)</f>
        <v>0</v>
      </c>
      <c r="Y10" s="18">
        <f>COUNTIFS('Season Log'!$C$4:$C$203,$A10,'Season Log'!$G$4:$G$203,"Post",'Season Log'!$B$4:$B$203,"&lt;&gt;Finals",'Season Log'!$D$4:$D$203,10)</f>
        <v>0</v>
      </c>
      <c r="Z10" s="18">
        <f>COUNTIFS('Season Log'!$C$4:$C$203,$A10,'Season Log'!$G$4:$G$203,"Post",'Season Log'!$B$4:$B$203,"&lt;&gt;Finals",'Season Log'!$D$4:$D$203,11)</f>
        <v>0</v>
      </c>
      <c r="AA10" s="18">
        <f>COUNTIFS('Season Log'!$C$4:$C$203,$A10,'Season Log'!$G$4:$G$203,"Post",'Season Log'!$B$4:$B$203,"&lt;&gt;Finals",'Season Log'!$D$4:$D$203,12)</f>
        <v>0</v>
      </c>
      <c r="AB10" s="18">
        <f>COUNTIFS('Season Log'!$C$4:$C$203,$A10,'Season Log'!$G$4:$G$203,"Post",'Season Log'!$B$4:$B$203,"&lt;&gt;Finals",'Season Log'!$D$4:$D$203,13)</f>
        <v>0</v>
      </c>
      <c r="AC10" s="18">
        <f t="shared" si="1"/>
        <v>0</v>
      </c>
      <c r="AD10" s="18">
        <f>COUNTIFS('Season Log'!$C$4:$C$203,$A10,'Season Log'!$G$4:$G$203,"Pre",'Season Log'!$B$4:$B$203,"&lt;&gt;Finals",'Season Log'!$E$4:$E$203,1)</f>
        <v>0</v>
      </c>
      <c r="AE10" s="18">
        <f>COUNTIFS('Season Log'!$C$4:$C$203,$A10,'Season Log'!$G$4:$G$203,"Pre",'Season Log'!$B$4:$B$203,"&lt;&gt;Finals",'Season Log'!$E$4:$E$203,2)</f>
        <v>0</v>
      </c>
      <c r="AF10" s="18">
        <f>COUNTIFS('Season Log'!$C$4:$C$203,$A10,'Season Log'!$G$4:$G$203,"Pre",'Season Log'!$B$4:$B$203,"&lt;&gt;Finals",'Season Log'!$E$4:$E$203,3)</f>
        <v>0</v>
      </c>
      <c r="AG10" s="18">
        <f>COUNTIFS('Season Log'!$C$4:$C$203,$A10,'Season Log'!$G$4:$G$203,"Pre",'Season Log'!$B$4:$B$203,"&lt;&gt;Finals",'Season Log'!$E$4:$E$203,4)</f>
        <v>0</v>
      </c>
      <c r="AH10" s="18">
        <f>COUNTIFS('Season Log'!$C$4:$C$203,$A10,'Season Log'!$G$4:$G$203,"Pre",'Season Log'!$B$4:$B$203,"&lt;&gt;Finals",'Season Log'!$E$4:$E$203,5)</f>
        <v>0</v>
      </c>
      <c r="AI10" s="18">
        <f>COUNTIFS('Season Log'!$C$4:$C$203,$A10,'Season Log'!$G$4:$G$203,"Pre",'Season Log'!$B$4:$B$203,"&lt;&gt;Finals",'Season Log'!$E$4:$E$203,6)</f>
        <v>0</v>
      </c>
      <c r="AJ10" s="18">
        <f>COUNTIFS('Season Log'!$C$4:$C$203,$A10,'Season Log'!$G$4:$G$203,"Pre",'Season Log'!$B$4:$B$203,"&lt;&gt;Finals",'Season Log'!$E$4:$E$203,7)</f>
        <v>0</v>
      </c>
      <c r="AK10" s="18">
        <f>COUNTIFS('Season Log'!$C$4:$C$203,$A10,'Season Log'!$G$4:$G$203,"Pre",'Season Log'!$B$4:$B$203,"&lt;&gt;Finals",'Season Log'!$E$4:$E$203,8)</f>
        <v>0</v>
      </c>
      <c r="AL10" s="18">
        <f>COUNTIFS('Season Log'!$C$4:$C$203,$A10,'Season Log'!$G$4:$G$203,"Pre",'Season Log'!$B$4:$B$203,"&lt;&gt;Finals",'Season Log'!$E$4:$E$203,9)</f>
        <v>0</v>
      </c>
      <c r="AM10" s="18">
        <f>COUNTIFS('Season Log'!$C$4:$C$203,$A10,'Season Log'!$G$4:$G$203,"Pre",'Season Log'!$B$4:$B$203,"&lt;&gt;Finals",'Season Log'!$E$4:$E$203,10)</f>
        <v>0</v>
      </c>
      <c r="AN10" s="18">
        <f>COUNTIFS('Season Log'!$C$4:$C$203,$A10,'Season Log'!$G$4:$G$203,"Pre",'Season Log'!$B$4:$B$203,"&lt;&gt;Finals",'Season Log'!$E$4:$E$203,11)</f>
        <v>0</v>
      </c>
      <c r="AO10" s="18">
        <f>COUNTIFS('Season Log'!$C$4:$C$203,$A10,'Season Log'!$G$4:$G$203,"Pre",'Season Log'!$B$4:$B$203,"&lt;&gt;Finals",'Season Log'!$E$4:$E$203,12)</f>
        <v>0</v>
      </c>
      <c r="AP10" s="18">
        <f>COUNTIFS('Season Log'!$C$4:$C$203,$A10,'Season Log'!$G$4:$G$203,"Pre",'Season Log'!$B$4:$B$203,"&lt;&gt;Finals",'Season Log'!$E$4:$E$203,13)</f>
        <v>0</v>
      </c>
      <c r="AQ10" s="18">
        <f t="shared" si="2"/>
        <v>0</v>
      </c>
      <c r="AR10" s="18">
        <f>COUNTIFS('Season Log'!$C$4:$C$203,$A10,'Season Log'!$G$4:$G$203,"Post",'Season Log'!$B$4:$B$203,"&lt;&gt;Finals",'Season Log'!$E$4:$E$203,1)</f>
        <v>0</v>
      </c>
      <c r="AS10" s="18">
        <f>COUNTIFS('Season Log'!$C$4:$C$203,$A10,'Season Log'!$G$4:$G$203,"Post",'Season Log'!$B$4:$B$203,"&lt;&gt;Finals",'Season Log'!$E$4:$E$203,2)</f>
        <v>0</v>
      </c>
      <c r="AT10" s="18">
        <f>COUNTIFS('Season Log'!$C$4:$C$203,$A10,'Season Log'!$G$4:$G$203,"Post",'Season Log'!$B$4:$B$203,"&lt;&gt;Finals",'Season Log'!$E$4:$E$203,3)</f>
        <v>0</v>
      </c>
      <c r="AU10" s="18">
        <f>COUNTIFS('Season Log'!$C$4:$C$203,$A10,'Season Log'!$G$4:$G$203,"Post",'Season Log'!$B$4:$B$203,"&lt;&gt;Finals",'Season Log'!$E$4:$E$203,4)</f>
        <v>0</v>
      </c>
      <c r="AV10" s="18">
        <f>COUNTIFS('Season Log'!$C$4:$C$203,$A10,'Season Log'!$G$4:$G$203,"Post",'Season Log'!$B$4:$B$203,"&lt;&gt;Finals",'Season Log'!$E$4:$E$203,5)</f>
        <v>0</v>
      </c>
      <c r="AW10" s="18">
        <f>COUNTIFS('Season Log'!$C$4:$C$203,$A10,'Season Log'!$G$4:$G$203,"Post",'Season Log'!$B$4:$B$203,"&lt;&gt;Finals",'Season Log'!$E$4:$E$203,6)</f>
        <v>0</v>
      </c>
      <c r="AX10" s="18">
        <f>COUNTIFS('Season Log'!$C$4:$C$203,$A10,'Season Log'!$G$4:$G$203,"Post",'Season Log'!$B$4:$B$203,"&lt;&gt;Finals",'Season Log'!$E$4:$E$203,7)</f>
        <v>0</v>
      </c>
      <c r="AY10" s="18">
        <f>COUNTIFS('Season Log'!$C$4:$C$203,$A10,'Season Log'!$G$4:$G$203,"Post",'Season Log'!$B$4:$B$203,"&lt;&gt;Finals",'Season Log'!$E$4:$E$203,8)</f>
        <v>0</v>
      </c>
      <c r="AZ10" s="18">
        <f>COUNTIFS('Season Log'!$C$4:$C$203,$A10,'Season Log'!$G$4:$G$203,"Post",'Season Log'!$B$4:$B$203,"&lt;&gt;Finals",'Season Log'!$E$4:$E$203,9)</f>
        <v>0</v>
      </c>
      <c r="BA10" s="18">
        <f>COUNTIFS('Season Log'!$C$4:$C$203,$A10,'Season Log'!$G$4:$G$203,"Post",'Season Log'!$B$4:$B$203,"&lt;&gt;Finals",'Season Log'!$E$4:$E$203,10)</f>
        <v>0</v>
      </c>
      <c r="BB10" s="18">
        <f>COUNTIFS('Season Log'!$C$4:$C$203,$A10,'Season Log'!$G$4:$G$203,"Post",'Season Log'!$B$4:$B$203,"&lt;&gt;Finals",'Season Log'!$E$4:$E$203,11)</f>
        <v>0</v>
      </c>
      <c r="BC10" s="18">
        <f>COUNTIFS('Season Log'!$C$4:$C$203,$A10,'Season Log'!$G$4:$G$203,"Post",'Season Log'!$B$4:$B$203,"&lt;&gt;Finals",'Season Log'!$E$4:$E$203,12)</f>
        <v>0</v>
      </c>
      <c r="BD10" s="18">
        <f>COUNTIFS('Season Log'!$C$4:$C$203,$A10,'Season Log'!$G$4:$G$203,"Post",'Season Log'!$B$4:$B$203,"&lt;&gt;Finals",'Season Log'!$E$4:$E$203,13)</f>
        <v>0</v>
      </c>
      <c r="BE10" s="18">
        <f t="shared" si="3"/>
        <v>0</v>
      </c>
      <c r="BF10" s="18" t="str">
        <f>IF(OR($A10="",IFERROR(INDEX(Setup!$C$18:$C$31,MATCH($A10,Setup!$B$18:$B$31,0)),"No")&lt;&gt;"Yes"),"",IF(AND(Setup!$B$3&lt;&gt;"Stage 2",Setup!$B$3&lt;&gt;"Stage 3"),"Stage 2/3 not selected",IF(Setup!$B$11="Finals","Finals - rotation waived",IF(AND($O10&gt;=5,$AC10&gt;=5,$AQ10&gt;=5,$BE10&gt;=5),"OK","Needs rotation"))))</f>
        <v>Stage 2/3 not selected</v>
      </c>
    </row>
    <row r="11" spans="1:58" ht="15" customHeight="1">
      <c r="A11" s="18" t="str">
        <f>Setup!$B$23</f>
        <v>Player 6</v>
      </c>
      <c r="B11" s="18">
        <f>COUNTIFS('Season Log'!$C$4:$C$203,$A11,'Season Log'!$G$4:$G$203,"Pre",'Season Log'!$B$4:$B$203,"&lt;&gt;Finals",'Season Log'!$D$4:$D$203,1)</f>
        <v>0</v>
      </c>
      <c r="C11" s="18">
        <f>COUNTIFS('Season Log'!$C$4:$C$203,$A11,'Season Log'!$G$4:$G$203,"Pre",'Season Log'!$B$4:$B$203,"&lt;&gt;Finals",'Season Log'!$D$4:$D$203,2)</f>
        <v>0</v>
      </c>
      <c r="D11" s="18">
        <f>COUNTIFS('Season Log'!$C$4:$C$203,$A11,'Season Log'!$G$4:$G$203,"Pre",'Season Log'!$B$4:$B$203,"&lt;&gt;Finals",'Season Log'!$D$4:$D$203,3)</f>
        <v>0</v>
      </c>
      <c r="E11" s="18">
        <f>COUNTIFS('Season Log'!$C$4:$C$203,$A11,'Season Log'!$G$4:$G$203,"Pre",'Season Log'!$B$4:$B$203,"&lt;&gt;Finals",'Season Log'!$D$4:$D$203,4)</f>
        <v>0</v>
      </c>
      <c r="F11" s="18">
        <f>COUNTIFS('Season Log'!$C$4:$C$203,$A11,'Season Log'!$G$4:$G$203,"Pre",'Season Log'!$B$4:$B$203,"&lt;&gt;Finals",'Season Log'!$D$4:$D$203,5)</f>
        <v>0</v>
      </c>
      <c r="G11" s="18">
        <f>COUNTIFS('Season Log'!$C$4:$C$203,$A11,'Season Log'!$G$4:$G$203,"Pre",'Season Log'!$B$4:$B$203,"&lt;&gt;Finals",'Season Log'!$D$4:$D$203,6)</f>
        <v>0</v>
      </c>
      <c r="H11" s="18">
        <f>COUNTIFS('Season Log'!$C$4:$C$203,$A11,'Season Log'!$G$4:$G$203,"Pre",'Season Log'!$B$4:$B$203,"&lt;&gt;Finals",'Season Log'!$D$4:$D$203,7)</f>
        <v>0</v>
      </c>
      <c r="I11" s="18">
        <f>COUNTIFS('Season Log'!$C$4:$C$203,$A11,'Season Log'!$G$4:$G$203,"Pre",'Season Log'!$B$4:$B$203,"&lt;&gt;Finals",'Season Log'!$D$4:$D$203,8)</f>
        <v>0</v>
      </c>
      <c r="J11" s="18">
        <f>COUNTIFS('Season Log'!$C$4:$C$203,$A11,'Season Log'!$G$4:$G$203,"Pre",'Season Log'!$B$4:$B$203,"&lt;&gt;Finals",'Season Log'!$D$4:$D$203,9)</f>
        <v>0</v>
      </c>
      <c r="K11" s="18">
        <f>COUNTIFS('Season Log'!$C$4:$C$203,$A11,'Season Log'!$G$4:$G$203,"Pre",'Season Log'!$B$4:$B$203,"&lt;&gt;Finals",'Season Log'!$D$4:$D$203,10)</f>
        <v>0</v>
      </c>
      <c r="L11" s="18">
        <f>COUNTIFS('Season Log'!$C$4:$C$203,$A11,'Season Log'!$G$4:$G$203,"Pre",'Season Log'!$B$4:$B$203,"&lt;&gt;Finals",'Season Log'!$D$4:$D$203,11)</f>
        <v>0</v>
      </c>
      <c r="M11" s="18">
        <f>COUNTIFS('Season Log'!$C$4:$C$203,$A11,'Season Log'!$G$4:$G$203,"Pre",'Season Log'!$B$4:$B$203,"&lt;&gt;Finals",'Season Log'!$D$4:$D$203,12)</f>
        <v>0</v>
      </c>
      <c r="N11" s="18">
        <f>COUNTIFS('Season Log'!$C$4:$C$203,$A11,'Season Log'!$G$4:$G$203,"Pre",'Season Log'!$B$4:$B$203,"&lt;&gt;Finals",'Season Log'!$D$4:$D$203,13)</f>
        <v>0</v>
      </c>
      <c r="O11" s="18">
        <f t="shared" si="0"/>
        <v>0</v>
      </c>
      <c r="P11" s="18">
        <f>COUNTIFS('Season Log'!$C$4:$C$203,$A11,'Season Log'!$G$4:$G$203,"Post",'Season Log'!$B$4:$B$203,"&lt;&gt;Finals",'Season Log'!$D$4:$D$203,1)</f>
        <v>0</v>
      </c>
      <c r="Q11" s="18">
        <f>COUNTIFS('Season Log'!$C$4:$C$203,$A11,'Season Log'!$G$4:$G$203,"Post",'Season Log'!$B$4:$B$203,"&lt;&gt;Finals",'Season Log'!$D$4:$D$203,2)</f>
        <v>0</v>
      </c>
      <c r="R11" s="18">
        <f>COUNTIFS('Season Log'!$C$4:$C$203,$A11,'Season Log'!$G$4:$G$203,"Post",'Season Log'!$B$4:$B$203,"&lt;&gt;Finals",'Season Log'!$D$4:$D$203,3)</f>
        <v>0</v>
      </c>
      <c r="S11" s="18">
        <f>COUNTIFS('Season Log'!$C$4:$C$203,$A11,'Season Log'!$G$4:$G$203,"Post",'Season Log'!$B$4:$B$203,"&lt;&gt;Finals",'Season Log'!$D$4:$D$203,4)</f>
        <v>0</v>
      </c>
      <c r="T11" s="18">
        <f>COUNTIFS('Season Log'!$C$4:$C$203,$A11,'Season Log'!$G$4:$G$203,"Post",'Season Log'!$B$4:$B$203,"&lt;&gt;Finals",'Season Log'!$D$4:$D$203,5)</f>
        <v>0</v>
      </c>
      <c r="U11" s="18">
        <f>COUNTIFS('Season Log'!$C$4:$C$203,$A11,'Season Log'!$G$4:$G$203,"Post",'Season Log'!$B$4:$B$203,"&lt;&gt;Finals",'Season Log'!$D$4:$D$203,6)</f>
        <v>0</v>
      </c>
      <c r="V11" s="18">
        <f>COUNTIFS('Season Log'!$C$4:$C$203,$A11,'Season Log'!$G$4:$G$203,"Post",'Season Log'!$B$4:$B$203,"&lt;&gt;Finals",'Season Log'!$D$4:$D$203,7)</f>
        <v>0</v>
      </c>
      <c r="W11" s="18">
        <f>COUNTIFS('Season Log'!$C$4:$C$203,$A11,'Season Log'!$G$4:$G$203,"Post",'Season Log'!$B$4:$B$203,"&lt;&gt;Finals",'Season Log'!$D$4:$D$203,8)</f>
        <v>0</v>
      </c>
      <c r="X11" s="18">
        <f>COUNTIFS('Season Log'!$C$4:$C$203,$A11,'Season Log'!$G$4:$G$203,"Post",'Season Log'!$B$4:$B$203,"&lt;&gt;Finals",'Season Log'!$D$4:$D$203,9)</f>
        <v>0</v>
      </c>
      <c r="Y11" s="18">
        <f>COUNTIFS('Season Log'!$C$4:$C$203,$A11,'Season Log'!$G$4:$G$203,"Post",'Season Log'!$B$4:$B$203,"&lt;&gt;Finals",'Season Log'!$D$4:$D$203,10)</f>
        <v>0</v>
      </c>
      <c r="Z11" s="18">
        <f>COUNTIFS('Season Log'!$C$4:$C$203,$A11,'Season Log'!$G$4:$G$203,"Post",'Season Log'!$B$4:$B$203,"&lt;&gt;Finals",'Season Log'!$D$4:$D$203,11)</f>
        <v>0</v>
      </c>
      <c r="AA11" s="18">
        <f>COUNTIFS('Season Log'!$C$4:$C$203,$A11,'Season Log'!$G$4:$G$203,"Post",'Season Log'!$B$4:$B$203,"&lt;&gt;Finals",'Season Log'!$D$4:$D$203,12)</f>
        <v>0</v>
      </c>
      <c r="AB11" s="18">
        <f>COUNTIFS('Season Log'!$C$4:$C$203,$A11,'Season Log'!$G$4:$G$203,"Post",'Season Log'!$B$4:$B$203,"&lt;&gt;Finals",'Season Log'!$D$4:$D$203,13)</f>
        <v>0</v>
      </c>
      <c r="AC11" s="18">
        <f t="shared" si="1"/>
        <v>0</v>
      </c>
      <c r="AD11" s="18">
        <f>COUNTIFS('Season Log'!$C$4:$C$203,$A11,'Season Log'!$G$4:$G$203,"Pre",'Season Log'!$B$4:$B$203,"&lt;&gt;Finals",'Season Log'!$E$4:$E$203,1)</f>
        <v>0</v>
      </c>
      <c r="AE11" s="18">
        <f>COUNTIFS('Season Log'!$C$4:$C$203,$A11,'Season Log'!$G$4:$G$203,"Pre",'Season Log'!$B$4:$B$203,"&lt;&gt;Finals",'Season Log'!$E$4:$E$203,2)</f>
        <v>0</v>
      </c>
      <c r="AF11" s="18">
        <f>COUNTIFS('Season Log'!$C$4:$C$203,$A11,'Season Log'!$G$4:$G$203,"Pre",'Season Log'!$B$4:$B$203,"&lt;&gt;Finals",'Season Log'!$E$4:$E$203,3)</f>
        <v>0</v>
      </c>
      <c r="AG11" s="18">
        <f>COUNTIFS('Season Log'!$C$4:$C$203,$A11,'Season Log'!$G$4:$G$203,"Pre",'Season Log'!$B$4:$B$203,"&lt;&gt;Finals",'Season Log'!$E$4:$E$203,4)</f>
        <v>0</v>
      </c>
      <c r="AH11" s="18">
        <f>COUNTIFS('Season Log'!$C$4:$C$203,$A11,'Season Log'!$G$4:$G$203,"Pre",'Season Log'!$B$4:$B$203,"&lt;&gt;Finals",'Season Log'!$E$4:$E$203,5)</f>
        <v>0</v>
      </c>
      <c r="AI11" s="18">
        <f>COUNTIFS('Season Log'!$C$4:$C$203,$A11,'Season Log'!$G$4:$G$203,"Pre",'Season Log'!$B$4:$B$203,"&lt;&gt;Finals",'Season Log'!$E$4:$E$203,6)</f>
        <v>0</v>
      </c>
      <c r="AJ11" s="18">
        <f>COUNTIFS('Season Log'!$C$4:$C$203,$A11,'Season Log'!$G$4:$G$203,"Pre",'Season Log'!$B$4:$B$203,"&lt;&gt;Finals",'Season Log'!$E$4:$E$203,7)</f>
        <v>0</v>
      </c>
      <c r="AK11" s="18">
        <f>COUNTIFS('Season Log'!$C$4:$C$203,$A11,'Season Log'!$G$4:$G$203,"Pre",'Season Log'!$B$4:$B$203,"&lt;&gt;Finals",'Season Log'!$E$4:$E$203,8)</f>
        <v>0</v>
      </c>
      <c r="AL11" s="18">
        <f>COUNTIFS('Season Log'!$C$4:$C$203,$A11,'Season Log'!$G$4:$G$203,"Pre",'Season Log'!$B$4:$B$203,"&lt;&gt;Finals",'Season Log'!$E$4:$E$203,9)</f>
        <v>0</v>
      </c>
      <c r="AM11" s="18">
        <f>COUNTIFS('Season Log'!$C$4:$C$203,$A11,'Season Log'!$G$4:$G$203,"Pre",'Season Log'!$B$4:$B$203,"&lt;&gt;Finals",'Season Log'!$E$4:$E$203,10)</f>
        <v>0</v>
      </c>
      <c r="AN11" s="18">
        <f>COUNTIFS('Season Log'!$C$4:$C$203,$A11,'Season Log'!$G$4:$G$203,"Pre",'Season Log'!$B$4:$B$203,"&lt;&gt;Finals",'Season Log'!$E$4:$E$203,11)</f>
        <v>0</v>
      </c>
      <c r="AO11" s="18">
        <f>COUNTIFS('Season Log'!$C$4:$C$203,$A11,'Season Log'!$G$4:$G$203,"Pre",'Season Log'!$B$4:$B$203,"&lt;&gt;Finals",'Season Log'!$E$4:$E$203,12)</f>
        <v>0</v>
      </c>
      <c r="AP11" s="18">
        <f>COUNTIFS('Season Log'!$C$4:$C$203,$A11,'Season Log'!$G$4:$G$203,"Pre",'Season Log'!$B$4:$B$203,"&lt;&gt;Finals",'Season Log'!$E$4:$E$203,13)</f>
        <v>0</v>
      </c>
      <c r="AQ11" s="18">
        <f t="shared" si="2"/>
        <v>0</v>
      </c>
      <c r="AR11" s="18">
        <f>COUNTIFS('Season Log'!$C$4:$C$203,$A11,'Season Log'!$G$4:$G$203,"Post",'Season Log'!$B$4:$B$203,"&lt;&gt;Finals",'Season Log'!$E$4:$E$203,1)</f>
        <v>0</v>
      </c>
      <c r="AS11" s="18">
        <f>COUNTIFS('Season Log'!$C$4:$C$203,$A11,'Season Log'!$G$4:$G$203,"Post",'Season Log'!$B$4:$B$203,"&lt;&gt;Finals",'Season Log'!$E$4:$E$203,2)</f>
        <v>0</v>
      </c>
      <c r="AT11" s="18">
        <f>COUNTIFS('Season Log'!$C$4:$C$203,$A11,'Season Log'!$G$4:$G$203,"Post",'Season Log'!$B$4:$B$203,"&lt;&gt;Finals",'Season Log'!$E$4:$E$203,3)</f>
        <v>0</v>
      </c>
      <c r="AU11" s="18">
        <f>COUNTIFS('Season Log'!$C$4:$C$203,$A11,'Season Log'!$G$4:$G$203,"Post",'Season Log'!$B$4:$B$203,"&lt;&gt;Finals",'Season Log'!$E$4:$E$203,4)</f>
        <v>0</v>
      </c>
      <c r="AV11" s="18">
        <f>COUNTIFS('Season Log'!$C$4:$C$203,$A11,'Season Log'!$G$4:$G$203,"Post",'Season Log'!$B$4:$B$203,"&lt;&gt;Finals",'Season Log'!$E$4:$E$203,5)</f>
        <v>0</v>
      </c>
      <c r="AW11" s="18">
        <f>COUNTIFS('Season Log'!$C$4:$C$203,$A11,'Season Log'!$G$4:$G$203,"Post",'Season Log'!$B$4:$B$203,"&lt;&gt;Finals",'Season Log'!$E$4:$E$203,6)</f>
        <v>0</v>
      </c>
      <c r="AX11" s="18">
        <f>COUNTIFS('Season Log'!$C$4:$C$203,$A11,'Season Log'!$G$4:$G$203,"Post",'Season Log'!$B$4:$B$203,"&lt;&gt;Finals",'Season Log'!$E$4:$E$203,7)</f>
        <v>0</v>
      </c>
      <c r="AY11" s="18">
        <f>COUNTIFS('Season Log'!$C$4:$C$203,$A11,'Season Log'!$G$4:$G$203,"Post",'Season Log'!$B$4:$B$203,"&lt;&gt;Finals",'Season Log'!$E$4:$E$203,8)</f>
        <v>0</v>
      </c>
      <c r="AZ11" s="18">
        <f>COUNTIFS('Season Log'!$C$4:$C$203,$A11,'Season Log'!$G$4:$G$203,"Post",'Season Log'!$B$4:$B$203,"&lt;&gt;Finals",'Season Log'!$E$4:$E$203,9)</f>
        <v>0</v>
      </c>
      <c r="BA11" s="18">
        <f>COUNTIFS('Season Log'!$C$4:$C$203,$A11,'Season Log'!$G$4:$G$203,"Post",'Season Log'!$B$4:$B$203,"&lt;&gt;Finals",'Season Log'!$E$4:$E$203,10)</f>
        <v>0</v>
      </c>
      <c r="BB11" s="18">
        <f>COUNTIFS('Season Log'!$C$4:$C$203,$A11,'Season Log'!$G$4:$G$203,"Post",'Season Log'!$B$4:$B$203,"&lt;&gt;Finals",'Season Log'!$E$4:$E$203,11)</f>
        <v>0</v>
      </c>
      <c r="BC11" s="18">
        <f>COUNTIFS('Season Log'!$C$4:$C$203,$A11,'Season Log'!$G$4:$G$203,"Post",'Season Log'!$B$4:$B$203,"&lt;&gt;Finals",'Season Log'!$E$4:$E$203,12)</f>
        <v>0</v>
      </c>
      <c r="BD11" s="18">
        <f>COUNTIFS('Season Log'!$C$4:$C$203,$A11,'Season Log'!$G$4:$G$203,"Post",'Season Log'!$B$4:$B$203,"&lt;&gt;Finals",'Season Log'!$E$4:$E$203,13)</f>
        <v>0</v>
      </c>
      <c r="BE11" s="18">
        <f t="shared" si="3"/>
        <v>0</v>
      </c>
      <c r="BF11" s="18" t="str">
        <f>IF(OR($A11="",IFERROR(INDEX(Setup!$C$18:$C$31,MATCH($A11,Setup!$B$18:$B$31,0)),"No")&lt;&gt;"Yes"),"",IF(AND(Setup!$B$3&lt;&gt;"Stage 2",Setup!$B$3&lt;&gt;"Stage 3"),"Stage 2/3 not selected",IF(Setup!$B$11="Finals","Finals - rotation waived",IF(AND($O11&gt;=5,$AC11&gt;=5,$AQ11&gt;=5,$BE11&gt;=5),"OK","Needs rotation"))))</f>
        <v>Stage 2/3 not selected</v>
      </c>
    </row>
    <row r="12" spans="1:58" ht="15" customHeight="1">
      <c r="A12" s="18" t="str">
        <f>Setup!$B$24</f>
        <v>Player 7</v>
      </c>
      <c r="B12" s="18">
        <f>COUNTIFS('Season Log'!$C$4:$C$203,$A12,'Season Log'!$G$4:$G$203,"Pre",'Season Log'!$B$4:$B$203,"&lt;&gt;Finals",'Season Log'!$D$4:$D$203,1)</f>
        <v>0</v>
      </c>
      <c r="C12" s="18">
        <f>COUNTIFS('Season Log'!$C$4:$C$203,$A12,'Season Log'!$G$4:$G$203,"Pre",'Season Log'!$B$4:$B$203,"&lt;&gt;Finals",'Season Log'!$D$4:$D$203,2)</f>
        <v>0</v>
      </c>
      <c r="D12" s="18">
        <f>COUNTIFS('Season Log'!$C$4:$C$203,$A12,'Season Log'!$G$4:$G$203,"Pre",'Season Log'!$B$4:$B$203,"&lt;&gt;Finals",'Season Log'!$D$4:$D$203,3)</f>
        <v>0</v>
      </c>
      <c r="E12" s="18">
        <f>COUNTIFS('Season Log'!$C$4:$C$203,$A12,'Season Log'!$G$4:$G$203,"Pre",'Season Log'!$B$4:$B$203,"&lt;&gt;Finals",'Season Log'!$D$4:$D$203,4)</f>
        <v>0</v>
      </c>
      <c r="F12" s="18">
        <f>COUNTIFS('Season Log'!$C$4:$C$203,$A12,'Season Log'!$G$4:$G$203,"Pre",'Season Log'!$B$4:$B$203,"&lt;&gt;Finals",'Season Log'!$D$4:$D$203,5)</f>
        <v>0</v>
      </c>
      <c r="G12" s="18">
        <f>COUNTIFS('Season Log'!$C$4:$C$203,$A12,'Season Log'!$G$4:$G$203,"Pre",'Season Log'!$B$4:$B$203,"&lt;&gt;Finals",'Season Log'!$D$4:$D$203,6)</f>
        <v>0</v>
      </c>
      <c r="H12" s="18">
        <f>COUNTIFS('Season Log'!$C$4:$C$203,$A12,'Season Log'!$G$4:$G$203,"Pre",'Season Log'!$B$4:$B$203,"&lt;&gt;Finals",'Season Log'!$D$4:$D$203,7)</f>
        <v>0</v>
      </c>
      <c r="I12" s="18">
        <f>COUNTIFS('Season Log'!$C$4:$C$203,$A12,'Season Log'!$G$4:$G$203,"Pre",'Season Log'!$B$4:$B$203,"&lt;&gt;Finals",'Season Log'!$D$4:$D$203,8)</f>
        <v>0</v>
      </c>
      <c r="J12" s="18">
        <f>COUNTIFS('Season Log'!$C$4:$C$203,$A12,'Season Log'!$G$4:$G$203,"Pre",'Season Log'!$B$4:$B$203,"&lt;&gt;Finals",'Season Log'!$D$4:$D$203,9)</f>
        <v>0</v>
      </c>
      <c r="K12" s="18">
        <f>COUNTIFS('Season Log'!$C$4:$C$203,$A12,'Season Log'!$G$4:$G$203,"Pre",'Season Log'!$B$4:$B$203,"&lt;&gt;Finals",'Season Log'!$D$4:$D$203,10)</f>
        <v>0</v>
      </c>
      <c r="L12" s="18">
        <f>COUNTIFS('Season Log'!$C$4:$C$203,$A12,'Season Log'!$G$4:$G$203,"Pre",'Season Log'!$B$4:$B$203,"&lt;&gt;Finals",'Season Log'!$D$4:$D$203,11)</f>
        <v>0</v>
      </c>
      <c r="M12" s="18">
        <f>COUNTIFS('Season Log'!$C$4:$C$203,$A12,'Season Log'!$G$4:$G$203,"Pre",'Season Log'!$B$4:$B$203,"&lt;&gt;Finals",'Season Log'!$D$4:$D$203,12)</f>
        <v>0</v>
      </c>
      <c r="N12" s="18">
        <f>COUNTIFS('Season Log'!$C$4:$C$203,$A12,'Season Log'!$G$4:$G$203,"Pre",'Season Log'!$B$4:$B$203,"&lt;&gt;Finals",'Season Log'!$D$4:$D$203,13)</f>
        <v>0</v>
      </c>
      <c r="O12" s="18">
        <f t="shared" si="0"/>
        <v>0</v>
      </c>
      <c r="P12" s="18">
        <f>COUNTIFS('Season Log'!$C$4:$C$203,$A12,'Season Log'!$G$4:$G$203,"Post",'Season Log'!$B$4:$B$203,"&lt;&gt;Finals",'Season Log'!$D$4:$D$203,1)</f>
        <v>0</v>
      </c>
      <c r="Q12" s="18">
        <f>COUNTIFS('Season Log'!$C$4:$C$203,$A12,'Season Log'!$G$4:$G$203,"Post",'Season Log'!$B$4:$B$203,"&lt;&gt;Finals",'Season Log'!$D$4:$D$203,2)</f>
        <v>0</v>
      </c>
      <c r="R12" s="18">
        <f>COUNTIFS('Season Log'!$C$4:$C$203,$A12,'Season Log'!$G$4:$G$203,"Post",'Season Log'!$B$4:$B$203,"&lt;&gt;Finals",'Season Log'!$D$4:$D$203,3)</f>
        <v>0</v>
      </c>
      <c r="S12" s="18">
        <f>COUNTIFS('Season Log'!$C$4:$C$203,$A12,'Season Log'!$G$4:$G$203,"Post",'Season Log'!$B$4:$B$203,"&lt;&gt;Finals",'Season Log'!$D$4:$D$203,4)</f>
        <v>0</v>
      </c>
      <c r="T12" s="18">
        <f>COUNTIFS('Season Log'!$C$4:$C$203,$A12,'Season Log'!$G$4:$G$203,"Post",'Season Log'!$B$4:$B$203,"&lt;&gt;Finals",'Season Log'!$D$4:$D$203,5)</f>
        <v>0</v>
      </c>
      <c r="U12" s="18">
        <f>COUNTIFS('Season Log'!$C$4:$C$203,$A12,'Season Log'!$G$4:$G$203,"Post",'Season Log'!$B$4:$B$203,"&lt;&gt;Finals",'Season Log'!$D$4:$D$203,6)</f>
        <v>0</v>
      </c>
      <c r="V12" s="18">
        <f>COUNTIFS('Season Log'!$C$4:$C$203,$A12,'Season Log'!$G$4:$G$203,"Post",'Season Log'!$B$4:$B$203,"&lt;&gt;Finals",'Season Log'!$D$4:$D$203,7)</f>
        <v>0</v>
      </c>
      <c r="W12" s="18">
        <f>COUNTIFS('Season Log'!$C$4:$C$203,$A12,'Season Log'!$G$4:$G$203,"Post",'Season Log'!$B$4:$B$203,"&lt;&gt;Finals",'Season Log'!$D$4:$D$203,8)</f>
        <v>0</v>
      </c>
      <c r="X12" s="18">
        <f>COUNTIFS('Season Log'!$C$4:$C$203,$A12,'Season Log'!$G$4:$G$203,"Post",'Season Log'!$B$4:$B$203,"&lt;&gt;Finals",'Season Log'!$D$4:$D$203,9)</f>
        <v>0</v>
      </c>
      <c r="Y12" s="18">
        <f>COUNTIFS('Season Log'!$C$4:$C$203,$A12,'Season Log'!$G$4:$G$203,"Post",'Season Log'!$B$4:$B$203,"&lt;&gt;Finals",'Season Log'!$D$4:$D$203,10)</f>
        <v>0</v>
      </c>
      <c r="Z12" s="18">
        <f>COUNTIFS('Season Log'!$C$4:$C$203,$A12,'Season Log'!$G$4:$G$203,"Post",'Season Log'!$B$4:$B$203,"&lt;&gt;Finals",'Season Log'!$D$4:$D$203,11)</f>
        <v>0</v>
      </c>
      <c r="AA12" s="18">
        <f>COUNTIFS('Season Log'!$C$4:$C$203,$A12,'Season Log'!$G$4:$G$203,"Post",'Season Log'!$B$4:$B$203,"&lt;&gt;Finals",'Season Log'!$D$4:$D$203,12)</f>
        <v>0</v>
      </c>
      <c r="AB12" s="18">
        <f>COUNTIFS('Season Log'!$C$4:$C$203,$A12,'Season Log'!$G$4:$G$203,"Post",'Season Log'!$B$4:$B$203,"&lt;&gt;Finals",'Season Log'!$D$4:$D$203,13)</f>
        <v>0</v>
      </c>
      <c r="AC12" s="18">
        <f t="shared" si="1"/>
        <v>0</v>
      </c>
      <c r="AD12" s="18">
        <f>COUNTIFS('Season Log'!$C$4:$C$203,$A12,'Season Log'!$G$4:$G$203,"Pre",'Season Log'!$B$4:$B$203,"&lt;&gt;Finals",'Season Log'!$E$4:$E$203,1)</f>
        <v>0</v>
      </c>
      <c r="AE12" s="18">
        <f>COUNTIFS('Season Log'!$C$4:$C$203,$A12,'Season Log'!$G$4:$G$203,"Pre",'Season Log'!$B$4:$B$203,"&lt;&gt;Finals",'Season Log'!$E$4:$E$203,2)</f>
        <v>0</v>
      </c>
      <c r="AF12" s="18">
        <f>COUNTIFS('Season Log'!$C$4:$C$203,$A12,'Season Log'!$G$4:$G$203,"Pre",'Season Log'!$B$4:$B$203,"&lt;&gt;Finals",'Season Log'!$E$4:$E$203,3)</f>
        <v>0</v>
      </c>
      <c r="AG12" s="18">
        <f>COUNTIFS('Season Log'!$C$4:$C$203,$A12,'Season Log'!$G$4:$G$203,"Pre",'Season Log'!$B$4:$B$203,"&lt;&gt;Finals",'Season Log'!$E$4:$E$203,4)</f>
        <v>0</v>
      </c>
      <c r="AH12" s="18">
        <f>COUNTIFS('Season Log'!$C$4:$C$203,$A12,'Season Log'!$G$4:$G$203,"Pre",'Season Log'!$B$4:$B$203,"&lt;&gt;Finals",'Season Log'!$E$4:$E$203,5)</f>
        <v>0</v>
      </c>
      <c r="AI12" s="18">
        <f>COUNTIFS('Season Log'!$C$4:$C$203,$A12,'Season Log'!$G$4:$G$203,"Pre",'Season Log'!$B$4:$B$203,"&lt;&gt;Finals",'Season Log'!$E$4:$E$203,6)</f>
        <v>0</v>
      </c>
      <c r="AJ12" s="18">
        <f>COUNTIFS('Season Log'!$C$4:$C$203,$A12,'Season Log'!$G$4:$G$203,"Pre",'Season Log'!$B$4:$B$203,"&lt;&gt;Finals",'Season Log'!$E$4:$E$203,7)</f>
        <v>0</v>
      </c>
      <c r="AK12" s="18">
        <f>COUNTIFS('Season Log'!$C$4:$C$203,$A12,'Season Log'!$G$4:$G$203,"Pre",'Season Log'!$B$4:$B$203,"&lt;&gt;Finals",'Season Log'!$E$4:$E$203,8)</f>
        <v>0</v>
      </c>
      <c r="AL12" s="18">
        <f>COUNTIFS('Season Log'!$C$4:$C$203,$A12,'Season Log'!$G$4:$G$203,"Pre",'Season Log'!$B$4:$B$203,"&lt;&gt;Finals",'Season Log'!$E$4:$E$203,9)</f>
        <v>0</v>
      </c>
      <c r="AM12" s="18">
        <f>COUNTIFS('Season Log'!$C$4:$C$203,$A12,'Season Log'!$G$4:$G$203,"Pre",'Season Log'!$B$4:$B$203,"&lt;&gt;Finals",'Season Log'!$E$4:$E$203,10)</f>
        <v>0</v>
      </c>
      <c r="AN12" s="18">
        <f>COUNTIFS('Season Log'!$C$4:$C$203,$A12,'Season Log'!$G$4:$G$203,"Pre",'Season Log'!$B$4:$B$203,"&lt;&gt;Finals",'Season Log'!$E$4:$E$203,11)</f>
        <v>0</v>
      </c>
      <c r="AO12" s="18">
        <f>COUNTIFS('Season Log'!$C$4:$C$203,$A12,'Season Log'!$G$4:$G$203,"Pre",'Season Log'!$B$4:$B$203,"&lt;&gt;Finals",'Season Log'!$E$4:$E$203,12)</f>
        <v>0</v>
      </c>
      <c r="AP12" s="18">
        <f>COUNTIFS('Season Log'!$C$4:$C$203,$A12,'Season Log'!$G$4:$G$203,"Pre",'Season Log'!$B$4:$B$203,"&lt;&gt;Finals",'Season Log'!$E$4:$E$203,13)</f>
        <v>0</v>
      </c>
      <c r="AQ12" s="18">
        <f t="shared" si="2"/>
        <v>0</v>
      </c>
      <c r="AR12" s="18">
        <f>COUNTIFS('Season Log'!$C$4:$C$203,$A12,'Season Log'!$G$4:$G$203,"Post",'Season Log'!$B$4:$B$203,"&lt;&gt;Finals",'Season Log'!$E$4:$E$203,1)</f>
        <v>0</v>
      </c>
      <c r="AS12" s="18">
        <f>COUNTIFS('Season Log'!$C$4:$C$203,$A12,'Season Log'!$G$4:$G$203,"Post",'Season Log'!$B$4:$B$203,"&lt;&gt;Finals",'Season Log'!$E$4:$E$203,2)</f>
        <v>0</v>
      </c>
      <c r="AT12" s="18">
        <f>COUNTIFS('Season Log'!$C$4:$C$203,$A12,'Season Log'!$G$4:$G$203,"Post",'Season Log'!$B$4:$B$203,"&lt;&gt;Finals",'Season Log'!$E$4:$E$203,3)</f>
        <v>0</v>
      </c>
      <c r="AU12" s="18">
        <f>COUNTIFS('Season Log'!$C$4:$C$203,$A12,'Season Log'!$G$4:$G$203,"Post",'Season Log'!$B$4:$B$203,"&lt;&gt;Finals",'Season Log'!$E$4:$E$203,4)</f>
        <v>0</v>
      </c>
      <c r="AV12" s="18">
        <f>COUNTIFS('Season Log'!$C$4:$C$203,$A12,'Season Log'!$G$4:$G$203,"Post",'Season Log'!$B$4:$B$203,"&lt;&gt;Finals",'Season Log'!$E$4:$E$203,5)</f>
        <v>0</v>
      </c>
      <c r="AW12" s="18">
        <f>COUNTIFS('Season Log'!$C$4:$C$203,$A12,'Season Log'!$G$4:$G$203,"Post",'Season Log'!$B$4:$B$203,"&lt;&gt;Finals",'Season Log'!$E$4:$E$203,6)</f>
        <v>0</v>
      </c>
      <c r="AX12" s="18">
        <f>COUNTIFS('Season Log'!$C$4:$C$203,$A12,'Season Log'!$G$4:$G$203,"Post",'Season Log'!$B$4:$B$203,"&lt;&gt;Finals",'Season Log'!$E$4:$E$203,7)</f>
        <v>0</v>
      </c>
      <c r="AY12" s="18">
        <f>COUNTIFS('Season Log'!$C$4:$C$203,$A12,'Season Log'!$G$4:$G$203,"Post",'Season Log'!$B$4:$B$203,"&lt;&gt;Finals",'Season Log'!$E$4:$E$203,8)</f>
        <v>0</v>
      </c>
      <c r="AZ12" s="18">
        <f>COUNTIFS('Season Log'!$C$4:$C$203,$A12,'Season Log'!$G$4:$G$203,"Post",'Season Log'!$B$4:$B$203,"&lt;&gt;Finals",'Season Log'!$E$4:$E$203,9)</f>
        <v>0</v>
      </c>
      <c r="BA12" s="18">
        <f>COUNTIFS('Season Log'!$C$4:$C$203,$A12,'Season Log'!$G$4:$G$203,"Post",'Season Log'!$B$4:$B$203,"&lt;&gt;Finals",'Season Log'!$E$4:$E$203,10)</f>
        <v>0</v>
      </c>
      <c r="BB12" s="18">
        <f>COUNTIFS('Season Log'!$C$4:$C$203,$A12,'Season Log'!$G$4:$G$203,"Post",'Season Log'!$B$4:$B$203,"&lt;&gt;Finals",'Season Log'!$E$4:$E$203,11)</f>
        <v>0</v>
      </c>
      <c r="BC12" s="18">
        <f>COUNTIFS('Season Log'!$C$4:$C$203,$A12,'Season Log'!$G$4:$G$203,"Post",'Season Log'!$B$4:$B$203,"&lt;&gt;Finals",'Season Log'!$E$4:$E$203,12)</f>
        <v>0</v>
      </c>
      <c r="BD12" s="18">
        <f>COUNTIFS('Season Log'!$C$4:$C$203,$A12,'Season Log'!$G$4:$G$203,"Post",'Season Log'!$B$4:$B$203,"&lt;&gt;Finals",'Season Log'!$E$4:$E$203,13)</f>
        <v>0</v>
      </c>
      <c r="BE12" s="18">
        <f t="shared" si="3"/>
        <v>0</v>
      </c>
      <c r="BF12" s="18" t="str">
        <f>IF(OR($A12="",IFERROR(INDEX(Setup!$C$18:$C$31,MATCH($A12,Setup!$B$18:$B$31,0)),"No")&lt;&gt;"Yes"),"",IF(AND(Setup!$B$3&lt;&gt;"Stage 2",Setup!$B$3&lt;&gt;"Stage 3"),"Stage 2/3 not selected",IF(Setup!$B$11="Finals","Finals - rotation waived",IF(AND($O12&gt;=5,$AC12&gt;=5,$AQ12&gt;=5,$BE12&gt;=5),"OK","Needs rotation"))))</f>
        <v>Stage 2/3 not selected</v>
      </c>
    </row>
    <row r="13" spans="1:58" ht="15" customHeight="1">
      <c r="A13" s="18" t="str">
        <f>Setup!$B$25</f>
        <v>Player 8</v>
      </c>
      <c r="B13" s="18">
        <f>COUNTIFS('Season Log'!$C$4:$C$203,$A13,'Season Log'!$G$4:$G$203,"Pre",'Season Log'!$B$4:$B$203,"&lt;&gt;Finals",'Season Log'!$D$4:$D$203,1)</f>
        <v>0</v>
      </c>
      <c r="C13" s="18">
        <f>COUNTIFS('Season Log'!$C$4:$C$203,$A13,'Season Log'!$G$4:$G$203,"Pre",'Season Log'!$B$4:$B$203,"&lt;&gt;Finals",'Season Log'!$D$4:$D$203,2)</f>
        <v>0</v>
      </c>
      <c r="D13" s="18">
        <f>COUNTIFS('Season Log'!$C$4:$C$203,$A13,'Season Log'!$G$4:$G$203,"Pre",'Season Log'!$B$4:$B$203,"&lt;&gt;Finals",'Season Log'!$D$4:$D$203,3)</f>
        <v>0</v>
      </c>
      <c r="E13" s="18">
        <f>COUNTIFS('Season Log'!$C$4:$C$203,$A13,'Season Log'!$G$4:$G$203,"Pre",'Season Log'!$B$4:$B$203,"&lt;&gt;Finals",'Season Log'!$D$4:$D$203,4)</f>
        <v>0</v>
      </c>
      <c r="F13" s="18">
        <f>COUNTIFS('Season Log'!$C$4:$C$203,$A13,'Season Log'!$G$4:$G$203,"Pre",'Season Log'!$B$4:$B$203,"&lt;&gt;Finals",'Season Log'!$D$4:$D$203,5)</f>
        <v>0</v>
      </c>
      <c r="G13" s="18">
        <f>COUNTIFS('Season Log'!$C$4:$C$203,$A13,'Season Log'!$G$4:$G$203,"Pre",'Season Log'!$B$4:$B$203,"&lt;&gt;Finals",'Season Log'!$D$4:$D$203,6)</f>
        <v>0</v>
      </c>
      <c r="H13" s="18">
        <f>COUNTIFS('Season Log'!$C$4:$C$203,$A13,'Season Log'!$G$4:$G$203,"Pre",'Season Log'!$B$4:$B$203,"&lt;&gt;Finals",'Season Log'!$D$4:$D$203,7)</f>
        <v>0</v>
      </c>
      <c r="I13" s="18">
        <f>COUNTIFS('Season Log'!$C$4:$C$203,$A13,'Season Log'!$G$4:$G$203,"Pre",'Season Log'!$B$4:$B$203,"&lt;&gt;Finals",'Season Log'!$D$4:$D$203,8)</f>
        <v>0</v>
      </c>
      <c r="J13" s="18">
        <f>COUNTIFS('Season Log'!$C$4:$C$203,$A13,'Season Log'!$G$4:$G$203,"Pre",'Season Log'!$B$4:$B$203,"&lt;&gt;Finals",'Season Log'!$D$4:$D$203,9)</f>
        <v>0</v>
      </c>
      <c r="K13" s="18">
        <f>COUNTIFS('Season Log'!$C$4:$C$203,$A13,'Season Log'!$G$4:$G$203,"Pre",'Season Log'!$B$4:$B$203,"&lt;&gt;Finals",'Season Log'!$D$4:$D$203,10)</f>
        <v>0</v>
      </c>
      <c r="L13" s="18">
        <f>COUNTIFS('Season Log'!$C$4:$C$203,$A13,'Season Log'!$G$4:$G$203,"Pre",'Season Log'!$B$4:$B$203,"&lt;&gt;Finals",'Season Log'!$D$4:$D$203,11)</f>
        <v>0</v>
      </c>
      <c r="M13" s="18">
        <f>COUNTIFS('Season Log'!$C$4:$C$203,$A13,'Season Log'!$G$4:$G$203,"Pre",'Season Log'!$B$4:$B$203,"&lt;&gt;Finals",'Season Log'!$D$4:$D$203,12)</f>
        <v>0</v>
      </c>
      <c r="N13" s="18">
        <f>COUNTIFS('Season Log'!$C$4:$C$203,$A13,'Season Log'!$G$4:$G$203,"Pre",'Season Log'!$B$4:$B$203,"&lt;&gt;Finals",'Season Log'!$D$4:$D$203,13)</f>
        <v>0</v>
      </c>
      <c r="O13" s="18">
        <f t="shared" si="0"/>
        <v>0</v>
      </c>
      <c r="P13" s="18">
        <f>COUNTIFS('Season Log'!$C$4:$C$203,$A13,'Season Log'!$G$4:$G$203,"Post",'Season Log'!$B$4:$B$203,"&lt;&gt;Finals",'Season Log'!$D$4:$D$203,1)</f>
        <v>0</v>
      </c>
      <c r="Q13" s="18">
        <f>COUNTIFS('Season Log'!$C$4:$C$203,$A13,'Season Log'!$G$4:$G$203,"Post",'Season Log'!$B$4:$B$203,"&lt;&gt;Finals",'Season Log'!$D$4:$D$203,2)</f>
        <v>0</v>
      </c>
      <c r="R13" s="18">
        <f>COUNTIFS('Season Log'!$C$4:$C$203,$A13,'Season Log'!$G$4:$G$203,"Post",'Season Log'!$B$4:$B$203,"&lt;&gt;Finals",'Season Log'!$D$4:$D$203,3)</f>
        <v>0</v>
      </c>
      <c r="S13" s="18">
        <f>COUNTIFS('Season Log'!$C$4:$C$203,$A13,'Season Log'!$G$4:$G$203,"Post",'Season Log'!$B$4:$B$203,"&lt;&gt;Finals",'Season Log'!$D$4:$D$203,4)</f>
        <v>0</v>
      </c>
      <c r="T13" s="18">
        <f>COUNTIFS('Season Log'!$C$4:$C$203,$A13,'Season Log'!$G$4:$G$203,"Post",'Season Log'!$B$4:$B$203,"&lt;&gt;Finals",'Season Log'!$D$4:$D$203,5)</f>
        <v>0</v>
      </c>
      <c r="U13" s="18">
        <f>COUNTIFS('Season Log'!$C$4:$C$203,$A13,'Season Log'!$G$4:$G$203,"Post",'Season Log'!$B$4:$B$203,"&lt;&gt;Finals",'Season Log'!$D$4:$D$203,6)</f>
        <v>0</v>
      </c>
      <c r="V13" s="18">
        <f>COUNTIFS('Season Log'!$C$4:$C$203,$A13,'Season Log'!$G$4:$G$203,"Post",'Season Log'!$B$4:$B$203,"&lt;&gt;Finals",'Season Log'!$D$4:$D$203,7)</f>
        <v>0</v>
      </c>
      <c r="W13" s="18">
        <f>COUNTIFS('Season Log'!$C$4:$C$203,$A13,'Season Log'!$G$4:$G$203,"Post",'Season Log'!$B$4:$B$203,"&lt;&gt;Finals",'Season Log'!$D$4:$D$203,8)</f>
        <v>0</v>
      </c>
      <c r="X13" s="18">
        <f>COUNTIFS('Season Log'!$C$4:$C$203,$A13,'Season Log'!$G$4:$G$203,"Post",'Season Log'!$B$4:$B$203,"&lt;&gt;Finals",'Season Log'!$D$4:$D$203,9)</f>
        <v>0</v>
      </c>
      <c r="Y13" s="18">
        <f>COUNTIFS('Season Log'!$C$4:$C$203,$A13,'Season Log'!$G$4:$G$203,"Post",'Season Log'!$B$4:$B$203,"&lt;&gt;Finals",'Season Log'!$D$4:$D$203,10)</f>
        <v>0</v>
      </c>
      <c r="Z13" s="18">
        <f>COUNTIFS('Season Log'!$C$4:$C$203,$A13,'Season Log'!$G$4:$G$203,"Post",'Season Log'!$B$4:$B$203,"&lt;&gt;Finals",'Season Log'!$D$4:$D$203,11)</f>
        <v>0</v>
      </c>
      <c r="AA13" s="18">
        <f>COUNTIFS('Season Log'!$C$4:$C$203,$A13,'Season Log'!$G$4:$G$203,"Post",'Season Log'!$B$4:$B$203,"&lt;&gt;Finals",'Season Log'!$D$4:$D$203,12)</f>
        <v>0</v>
      </c>
      <c r="AB13" s="18">
        <f>COUNTIFS('Season Log'!$C$4:$C$203,$A13,'Season Log'!$G$4:$G$203,"Post",'Season Log'!$B$4:$B$203,"&lt;&gt;Finals",'Season Log'!$D$4:$D$203,13)</f>
        <v>0</v>
      </c>
      <c r="AC13" s="18">
        <f t="shared" si="1"/>
        <v>0</v>
      </c>
      <c r="AD13" s="18">
        <f>COUNTIFS('Season Log'!$C$4:$C$203,$A13,'Season Log'!$G$4:$G$203,"Pre",'Season Log'!$B$4:$B$203,"&lt;&gt;Finals",'Season Log'!$E$4:$E$203,1)</f>
        <v>0</v>
      </c>
      <c r="AE13" s="18">
        <f>COUNTIFS('Season Log'!$C$4:$C$203,$A13,'Season Log'!$G$4:$G$203,"Pre",'Season Log'!$B$4:$B$203,"&lt;&gt;Finals",'Season Log'!$E$4:$E$203,2)</f>
        <v>0</v>
      </c>
      <c r="AF13" s="18">
        <f>COUNTIFS('Season Log'!$C$4:$C$203,$A13,'Season Log'!$G$4:$G$203,"Pre",'Season Log'!$B$4:$B$203,"&lt;&gt;Finals",'Season Log'!$E$4:$E$203,3)</f>
        <v>0</v>
      </c>
      <c r="AG13" s="18">
        <f>COUNTIFS('Season Log'!$C$4:$C$203,$A13,'Season Log'!$G$4:$G$203,"Pre",'Season Log'!$B$4:$B$203,"&lt;&gt;Finals",'Season Log'!$E$4:$E$203,4)</f>
        <v>0</v>
      </c>
      <c r="AH13" s="18">
        <f>COUNTIFS('Season Log'!$C$4:$C$203,$A13,'Season Log'!$G$4:$G$203,"Pre",'Season Log'!$B$4:$B$203,"&lt;&gt;Finals",'Season Log'!$E$4:$E$203,5)</f>
        <v>0</v>
      </c>
      <c r="AI13" s="18">
        <f>COUNTIFS('Season Log'!$C$4:$C$203,$A13,'Season Log'!$G$4:$G$203,"Pre",'Season Log'!$B$4:$B$203,"&lt;&gt;Finals",'Season Log'!$E$4:$E$203,6)</f>
        <v>0</v>
      </c>
      <c r="AJ13" s="18">
        <f>COUNTIFS('Season Log'!$C$4:$C$203,$A13,'Season Log'!$G$4:$G$203,"Pre",'Season Log'!$B$4:$B$203,"&lt;&gt;Finals",'Season Log'!$E$4:$E$203,7)</f>
        <v>0</v>
      </c>
      <c r="AK13" s="18">
        <f>COUNTIFS('Season Log'!$C$4:$C$203,$A13,'Season Log'!$G$4:$G$203,"Pre",'Season Log'!$B$4:$B$203,"&lt;&gt;Finals",'Season Log'!$E$4:$E$203,8)</f>
        <v>0</v>
      </c>
      <c r="AL13" s="18">
        <f>COUNTIFS('Season Log'!$C$4:$C$203,$A13,'Season Log'!$G$4:$G$203,"Pre",'Season Log'!$B$4:$B$203,"&lt;&gt;Finals",'Season Log'!$E$4:$E$203,9)</f>
        <v>0</v>
      </c>
      <c r="AM13" s="18">
        <f>COUNTIFS('Season Log'!$C$4:$C$203,$A13,'Season Log'!$G$4:$G$203,"Pre",'Season Log'!$B$4:$B$203,"&lt;&gt;Finals",'Season Log'!$E$4:$E$203,10)</f>
        <v>0</v>
      </c>
      <c r="AN13" s="18">
        <f>COUNTIFS('Season Log'!$C$4:$C$203,$A13,'Season Log'!$G$4:$G$203,"Pre",'Season Log'!$B$4:$B$203,"&lt;&gt;Finals",'Season Log'!$E$4:$E$203,11)</f>
        <v>0</v>
      </c>
      <c r="AO13" s="18">
        <f>COUNTIFS('Season Log'!$C$4:$C$203,$A13,'Season Log'!$G$4:$G$203,"Pre",'Season Log'!$B$4:$B$203,"&lt;&gt;Finals",'Season Log'!$E$4:$E$203,12)</f>
        <v>0</v>
      </c>
      <c r="AP13" s="18">
        <f>COUNTIFS('Season Log'!$C$4:$C$203,$A13,'Season Log'!$G$4:$G$203,"Pre",'Season Log'!$B$4:$B$203,"&lt;&gt;Finals",'Season Log'!$E$4:$E$203,13)</f>
        <v>0</v>
      </c>
      <c r="AQ13" s="18">
        <f t="shared" si="2"/>
        <v>0</v>
      </c>
      <c r="AR13" s="18">
        <f>COUNTIFS('Season Log'!$C$4:$C$203,$A13,'Season Log'!$G$4:$G$203,"Post",'Season Log'!$B$4:$B$203,"&lt;&gt;Finals",'Season Log'!$E$4:$E$203,1)</f>
        <v>0</v>
      </c>
      <c r="AS13" s="18">
        <f>COUNTIFS('Season Log'!$C$4:$C$203,$A13,'Season Log'!$G$4:$G$203,"Post",'Season Log'!$B$4:$B$203,"&lt;&gt;Finals",'Season Log'!$E$4:$E$203,2)</f>
        <v>0</v>
      </c>
      <c r="AT13" s="18">
        <f>COUNTIFS('Season Log'!$C$4:$C$203,$A13,'Season Log'!$G$4:$G$203,"Post",'Season Log'!$B$4:$B$203,"&lt;&gt;Finals",'Season Log'!$E$4:$E$203,3)</f>
        <v>0</v>
      </c>
      <c r="AU13" s="18">
        <f>COUNTIFS('Season Log'!$C$4:$C$203,$A13,'Season Log'!$G$4:$G$203,"Post",'Season Log'!$B$4:$B$203,"&lt;&gt;Finals",'Season Log'!$E$4:$E$203,4)</f>
        <v>0</v>
      </c>
      <c r="AV13" s="18">
        <f>COUNTIFS('Season Log'!$C$4:$C$203,$A13,'Season Log'!$G$4:$G$203,"Post",'Season Log'!$B$4:$B$203,"&lt;&gt;Finals",'Season Log'!$E$4:$E$203,5)</f>
        <v>0</v>
      </c>
      <c r="AW13" s="18">
        <f>COUNTIFS('Season Log'!$C$4:$C$203,$A13,'Season Log'!$G$4:$G$203,"Post",'Season Log'!$B$4:$B$203,"&lt;&gt;Finals",'Season Log'!$E$4:$E$203,6)</f>
        <v>0</v>
      </c>
      <c r="AX13" s="18">
        <f>COUNTIFS('Season Log'!$C$4:$C$203,$A13,'Season Log'!$G$4:$G$203,"Post",'Season Log'!$B$4:$B$203,"&lt;&gt;Finals",'Season Log'!$E$4:$E$203,7)</f>
        <v>0</v>
      </c>
      <c r="AY13" s="18">
        <f>COUNTIFS('Season Log'!$C$4:$C$203,$A13,'Season Log'!$G$4:$G$203,"Post",'Season Log'!$B$4:$B$203,"&lt;&gt;Finals",'Season Log'!$E$4:$E$203,8)</f>
        <v>0</v>
      </c>
      <c r="AZ13" s="18">
        <f>COUNTIFS('Season Log'!$C$4:$C$203,$A13,'Season Log'!$G$4:$G$203,"Post",'Season Log'!$B$4:$B$203,"&lt;&gt;Finals",'Season Log'!$E$4:$E$203,9)</f>
        <v>0</v>
      </c>
      <c r="BA13" s="18">
        <f>COUNTIFS('Season Log'!$C$4:$C$203,$A13,'Season Log'!$G$4:$G$203,"Post",'Season Log'!$B$4:$B$203,"&lt;&gt;Finals",'Season Log'!$E$4:$E$203,10)</f>
        <v>0</v>
      </c>
      <c r="BB13" s="18">
        <f>COUNTIFS('Season Log'!$C$4:$C$203,$A13,'Season Log'!$G$4:$G$203,"Post",'Season Log'!$B$4:$B$203,"&lt;&gt;Finals",'Season Log'!$E$4:$E$203,11)</f>
        <v>0</v>
      </c>
      <c r="BC13" s="18">
        <f>COUNTIFS('Season Log'!$C$4:$C$203,$A13,'Season Log'!$G$4:$G$203,"Post",'Season Log'!$B$4:$B$203,"&lt;&gt;Finals",'Season Log'!$E$4:$E$203,12)</f>
        <v>0</v>
      </c>
      <c r="BD13" s="18">
        <f>COUNTIFS('Season Log'!$C$4:$C$203,$A13,'Season Log'!$G$4:$G$203,"Post",'Season Log'!$B$4:$B$203,"&lt;&gt;Finals",'Season Log'!$E$4:$E$203,13)</f>
        <v>0</v>
      </c>
      <c r="BE13" s="18">
        <f t="shared" si="3"/>
        <v>0</v>
      </c>
      <c r="BF13" s="18" t="str">
        <f>IF(OR($A13="",IFERROR(INDEX(Setup!$C$18:$C$31,MATCH($A13,Setup!$B$18:$B$31,0)),"No")&lt;&gt;"Yes"),"",IF(AND(Setup!$B$3&lt;&gt;"Stage 2",Setup!$B$3&lt;&gt;"Stage 3"),"Stage 2/3 not selected",IF(Setup!$B$11="Finals","Finals - rotation waived",IF(AND($O13&gt;=5,$AC13&gt;=5,$AQ13&gt;=5,$BE13&gt;=5),"OK","Needs rotation"))))</f>
        <v/>
      </c>
    </row>
    <row r="14" spans="1:58" ht="15" customHeight="1">
      <c r="A14" s="18" t="str">
        <f>Setup!$B$26</f>
        <v>Player 9</v>
      </c>
      <c r="B14" s="18">
        <f>COUNTIFS('Season Log'!$C$4:$C$203,$A14,'Season Log'!$G$4:$G$203,"Pre",'Season Log'!$B$4:$B$203,"&lt;&gt;Finals",'Season Log'!$D$4:$D$203,1)</f>
        <v>0</v>
      </c>
      <c r="C14" s="18">
        <f>COUNTIFS('Season Log'!$C$4:$C$203,$A14,'Season Log'!$G$4:$G$203,"Pre",'Season Log'!$B$4:$B$203,"&lt;&gt;Finals",'Season Log'!$D$4:$D$203,2)</f>
        <v>0</v>
      </c>
      <c r="D14" s="18">
        <f>COUNTIFS('Season Log'!$C$4:$C$203,$A14,'Season Log'!$G$4:$G$203,"Pre",'Season Log'!$B$4:$B$203,"&lt;&gt;Finals",'Season Log'!$D$4:$D$203,3)</f>
        <v>0</v>
      </c>
      <c r="E14" s="18">
        <f>COUNTIFS('Season Log'!$C$4:$C$203,$A14,'Season Log'!$G$4:$G$203,"Pre",'Season Log'!$B$4:$B$203,"&lt;&gt;Finals",'Season Log'!$D$4:$D$203,4)</f>
        <v>0</v>
      </c>
      <c r="F14" s="18">
        <f>COUNTIFS('Season Log'!$C$4:$C$203,$A14,'Season Log'!$G$4:$G$203,"Pre",'Season Log'!$B$4:$B$203,"&lt;&gt;Finals",'Season Log'!$D$4:$D$203,5)</f>
        <v>0</v>
      </c>
      <c r="G14" s="18">
        <f>COUNTIFS('Season Log'!$C$4:$C$203,$A14,'Season Log'!$G$4:$G$203,"Pre",'Season Log'!$B$4:$B$203,"&lt;&gt;Finals",'Season Log'!$D$4:$D$203,6)</f>
        <v>0</v>
      </c>
      <c r="H14" s="18">
        <f>COUNTIFS('Season Log'!$C$4:$C$203,$A14,'Season Log'!$G$4:$G$203,"Pre",'Season Log'!$B$4:$B$203,"&lt;&gt;Finals",'Season Log'!$D$4:$D$203,7)</f>
        <v>0</v>
      </c>
      <c r="I14" s="18">
        <f>COUNTIFS('Season Log'!$C$4:$C$203,$A14,'Season Log'!$G$4:$G$203,"Pre",'Season Log'!$B$4:$B$203,"&lt;&gt;Finals",'Season Log'!$D$4:$D$203,8)</f>
        <v>0</v>
      </c>
      <c r="J14" s="18">
        <f>COUNTIFS('Season Log'!$C$4:$C$203,$A14,'Season Log'!$G$4:$G$203,"Pre",'Season Log'!$B$4:$B$203,"&lt;&gt;Finals",'Season Log'!$D$4:$D$203,9)</f>
        <v>0</v>
      </c>
      <c r="K14" s="18">
        <f>COUNTIFS('Season Log'!$C$4:$C$203,$A14,'Season Log'!$G$4:$G$203,"Pre",'Season Log'!$B$4:$B$203,"&lt;&gt;Finals",'Season Log'!$D$4:$D$203,10)</f>
        <v>0</v>
      </c>
      <c r="L14" s="18">
        <f>COUNTIFS('Season Log'!$C$4:$C$203,$A14,'Season Log'!$G$4:$G$203,"Pre",'Season Log'!$B$4:$B$203,"&lt;&gt;Finals",'Season Log'!$D$4:$D$203,11)</f>
        <v>0</v>
      </c>
      <c r="M14" s="18">
        <f>COUNTIFS('Season Log'!$C$4:$C$203,$A14,'Season Log'!$G$4:$G$203,"Pre",'Season Log'!$B$4:$B$203,"&lt;&gt;Finals",'Season Log'!$D$4:$D$203,12)</f>
        <v>0</v>
      </c>
      <c r="N14" s="18">
        <f>COUNTIFS('Season Log'!$C$4:$C$203,$A14,'Season Log'!$G$4:$G$203,"Pre",'Season Log'!$B$4:$B$203,"&lt;&gt;Finals",'Season Log'!$D$4:$D$203,13)</f>
        <v>0</v>
      </c>
      <c r="O14" s="18">
        <f t="shared" si="0"/>
        <v>0</v>
      </c>
      <c r="P14" s="18">
        <f>COUNTIFS('Season Log'!$C$4:$C$203,$A14,'Season Log'!$G$4:$G$203,"Post",'Season Log'!$B$4:$B$203,"&lt;&gt;Finals",'Season Log'!$D$4:$D$203,1)</f>
        <v>0</v>
      </c>
      <c r="Q14" s="18">
        <f>COUNTIFS('Season Log'!$C$4:$C$203,$A14,'Season Log'!$G$4:$G$203,"Post",'Season Log'!$B$4:$B$203,"&lt;&gt;Finals",'Season Log'!$D$4:$D$203,2)</f>
        <v>0</v>
      </c>
      <c r="R14" s="18">
        <f>COUNTIFS('Season Log'!$C$4:$C$203,$A14,'Season Log'!$G$4:$G$203,"Post",'Season Log'!$B$4:$B$203,"&lt;&gt;Finals",'Season Log'!$D$4:$D$203,3)</f>
        <v>0</v>
      </c>
      <c r="S14" s="18">
        <f>COUNTIFS('Season Log'!$C$4:$C$203,$A14,'Season Log'!$G$4:$G$203,"Post",'Season Log'!$B$4:$B$203,"&lt;&gt;Finals",'Season Log'!$D$4:$D$203,4)</f>
        <v>0</v>
      </c>
      <c r="T14" s="18">
        <f>COUNTIFS('Season Log'!$C$4:$C$203,$A14,'Season Log'!$G$4:$G$203,"Post",'Season Log'!$B$4:$B$203,"&lt;&gt;Finals",'Season Log'!$D$4:$D$203,5)</f>
        <v>0</v>
      </c>
      <c r="U14" s="18">
        <f>COUNTIFS('Season Log'!$C$4:$C$203,$A14,'Season Log'!$G$4:$G$203,"Post",'Season Log'!$B$4:$B$203,"&lt;&gt;Finals",'Season Log'!$D$4:$D$203,6)</f>
        <v>0</v>
      </c>
      <c r="V14" s="18">
        <f>COUNTIFS('Season Log'!$C$4:$C$203,$A14,'Season Log'!$G$4:$G$203,"Post",'Season Log'!$B$4:$B$203,"&lt;&gt;Finals",'Season Log'!$D$4:$D$203,7)</f>
        <v>0</v>
      </c>
      <c r="W14" s="18">
        <f>COUNTIFS('Season Log'!$C$4:$C$203,$A14,'Season Log'!$G$4:$G$203,"Post",'Season Log'!$B$4:$B$203,"&lt;&gt;Finals",'Season Log'!$D$4:$D$203,8)</f>
        <v>0</v>
      </c>
      <c r="X14" s="18">
        <f>COUNTIFS('Season Log'!$C$4:$C$203,$A14,'Season Log'!$G$4:$G$203,"Post",'Season Log'!$B$4:$B$203,"&lt;&gt;Finals",'Season Log'!$D$4:$D$203,9)</f>
        <v>0</v>
      </c>
      <c r="Y14" s="18">
        <f>COUNTIFS('Season Log'!$C$4:$C$203,$A14,'Season Log'!$G$4:$G$203,"Post",'Season Log'!$B$4:$B$203,"&lt;&gt;Finals",'Season Log'!$D$4:$D$203,10)</f>
        <v>0</v>
      </c>
      <c r="Z14" s="18">
        <f>COUNTIFS('Season Log'!$C$4:$C$203,$A14,'Season Log'!$G$4:$G$203,"Post",'Season Log'!$B$4:$B$203,"&lt;&gt;Finals",'Season Log'!$D$4:$D$203,11)</f>
        <v>0</v>
      </c>
      <c r="AA14" s="18">
        <f>COUNTIFS('Season Log'!$C$4:$C$203,$A14,'Season Log'!$G$4:$G$203,"Post",'Season Log'!$B$4:$B$203,"&lt;&gt;Finals",'Season Log'!$D$4:$D$203,12)</f>
        <v>0</v>
      </c>
      <c r="AB14" s="18">
        <f>COUNTIFS('Season Log'!$C$4:$C$203,$A14,'Season Log'!$G$4:$G$203,"Post",'Season Log'!$B$4:$B$203,"&lt;&gt;Finals",'Season Log'!$D$4:$D$203,13)</f>
        <v>0</v>
      </c>
      <c r="AC14" s="18">
        <f t="shared" si="1"/>
        <v>0</v>
      </c>
      <c r="AD14" s="18">
        <f>COUNTIFS('Season Log'!$C$4:$C$203,$A14,'Season Log'!$G$4:$G$203,"Pre",'Season Log'!$B$4:$B$203,"&lt;&gt;Finals",'Season Log'!$E$4:$E$203,1)</f>
        <v>0</v>
      </c>
      <c r="AE14" s="18">
        <f>COUNTIFS('Season Log'!$C$4:$C$203,$A14,'Season Log'!$G$4:$G$203,"Pre",'Season Log'!$B$4:$B$203,"&lt;&gt;Finals",'Season Log'!$E$4:$E$203,2)</f>
        <v>0</v>
      </c>
      <c r="AF14" s="18">
        <f>COUNTIFS('Season Log'!$C$4:$C$203,$A14,'Season Log'!$G$4:$G$203,"Pre",'Season Log'!$B$4:$B$203,"&lt;&gt;Finals",'Season Log'!$E$4:$E$203,3)</f>
        <v>0</v>
      </c>
      <c r="AG14" s="18">
        <f>COUNTIFS('Season Log'!$C$4:$C$203,$A14,'Season Log'!$G$4:$G$203,"Pre",'Season Log'!$B$4:$B$203,"&lt;&gt;Finals",'Season Log'!$E$4:$E$203,4)</f>
        <v>0</v>
      </c>
      <c r="AH14" s="18">
        <f>COUNTIFS('Season Log'!$C$4:$C$203,$A14,'Season Log'!$G$4:$G$203,"Pre",'Season Log'!$B$4:$B$203,"&lt;&gt;Finals",'Season Log'!$E$4:$E$203,5)</f>
        <v>0</v>
      </c>
      <c r="AI14" s="18">
        <f>COUNTIFS('Season Log'!$C$4:$C$203,$A14,'Season Log'!$G$4:$G$203,"Pre",'Season Log'!$B$4:$B$203,"&lt;&gt;Finals",'Season Log'!$E$4:$E$203,6)</f>
        <v>0</v>
      </c>
      <c r="AJ14" s="18">
        <f>COUNTIFS('Season Log'!$C$4:$C$203,$A14,'Season Log'!$G$4:$G$203,"Pre",'Season Log'!$B$4:$B$203,"&lt;&gt;Finals",'Season Log'!$E$4:$E$203,7)</f>
        <v>0</v>
      </c>
      <c r="AK14" s="18">
        <f>COUNTIFS('Season Log'!$C$4:$C$203,$A14,'Season Log'!$G$4:$G$203,"Pre",'Season Log'!$B$4:$B$203,"&lt;&gt;Finals",'Season Log'!$E$4:$E$203,8)</f>
        <v>0</v>
      </c>
      <c r="AL14" s="18">
        <f>COUNTIFS('Season Log'!$C$4:$C$203,$A14,'Season Log'!$G$4:$G$203,"Pre",'Season Log'!$B$4:$B$203,"&lt;&gt;Finals",'Season Log'!$E$4:$E$203,9)</f>
        <v>0</v>
      </c>
      <c r="AM14" s="18">
        <f>COUNTIFS('Season Log'!$C$4:$C$203,$A14,'Season Log'!$G$4:$G$203,"Pre",'Season Log'!$B$4:$B$203,"&lt;&gt;Finals",'Season Log'!$E$4:$E$203,10)</f>
        <v>0</v>
      </c>
      <c r="AN14" s="18">
        <f>COUNTIFS('Season Log'!$C$4:$C$203,$A14,'Season Log'!$G$4:$G$203,"Pre",'Season Log'!$B$4:$B$203,"&lt;&gt;Finals",'Season Log'!$E$4:$E$203,11)</f>
        <v>0</v>
      </c>
      <c r="AO14" s="18">
        <f>COUNTIFS('Season Log'!$C$4:$C$203,$A14,'Season Log'!$G$4:$G$203,"Pre",'Season Log'!$B$4:$B$203,"&lt;&gt;Finals",'Season Log'!$E$4:$E$203,12)</f>
        <v>0</v>
      </c>
      <c r="AP14" s="18">
        <f>COUNTIFS('Season Log'!$C$4:$C$203,$A14,'Season Log'!$G$4:$G$203,"Pre",'Season Log'!$B$4:$B$203,"&lt;&gt;Finals",'Season Log'!$E$4:$E$203,13)</f>
        <v>0</v>
      </c>
      <c r="AQ14" s="18">
        <f t="shared" si="2"/>
        <v>0</v>
      </c>
      <c r="AR14" s="18">
        <f>COUNTIFS('Season Log'!$C$4:$C$203,$A14,'Season Log'!$G$4:$G$203,"Post",'Season Log'!$B$4:$B$203,"&lt;&gt;Finals",'Season Log'!$E$4:$E$203,1)</f>
        <v>0</v>
      </c>
      <c r="AS14" s="18">
        <f>COUNTIFS('Season Log'!$C$4:$C$203,$A14,'Season Log'!$G$4:$G$203,"Post",'Season Log'!$B$4:$B$203,"&lt;&gt;Finals",'Season Log'!$E$4:$E$203,2)</f>
        <v>0</v>
      </c>
      <c r="AT14" s="18">
        <f>COUNTIFS('Season Log'!$C$4:$C$203,$A14,'Season Log'!$G$4:$G$203,"Post",'Season Log'!$B$4:$B$203,"&lt;&gt;Finals",'Season Log'!$E$4:$E$203,3)</f>
        <v>0</v>
      </c>
      <c r="AU14" s="18">
        <f>COUNTIFS('Season Log'!$C$4:$C$203,$A14,'Season Log'!$G$4:$G$203,"Post",'Season Log'!$B$4:$B$203,"&lt;&gt;Finals",'Season Log'!$E$4:$E$203,4)</f>
        <v>0</v>
      </c>
      <c r="AV14" s="18">
        <f>COUNTIFS('Season Log'!$C$4:$C$203,$A14,'Season Log'!$G$4:$G$203,"Post",'Season Log'!$B$4:$B$203,"&lt;&gt;Finals",'Season Log'!$E$4:$E$203,5)</f>
        <v>0</v>
      </c>
      <c r="AW14" s="18">
        <f>COUNTIFS('Season Log'!$C$4:$C$203,$A14,'Season Log'!$G$4:$G$203,"Post",'Season Log'!$B$4:$B$203,"&lt;&gt;Finals",'Season Log'!$E$4:$E$203,6)</f>
        <v>0</v>
      </c>
      <c r="AX14" s="18">
        <f>COUNTIFS('Season Log'!$C$4:$C$203,$A14,'Season Log'!$G$4:$G$203,"Post",'Season Log'!$B$4:$B$203,"&lt;&gt;Finals",'Season Log'!$E$4:$E$203,7)</f>
        <v>0</v>
      </c>
      <c r="AY14" s="18">
        <f>COUNTIFS('Season Log'!$C$4:$C$203,$A14,'Season Log'!$G$4:$G$203,"Post",'Season Log'!$B$4:$B$203,"&lt;&gt;Finals",'Season Log'!$E$4:$E$203,8)</f>
        <v>0</v>
      </c>
      <c r="AZ14" s="18">
        <f>COUNTIFS('Season Log'!$C$4:$C$203,$A14,'Season Log'!$G$4:$G$203,"Post",'Season Log'!$B$4:$B$203,"&lt;&gt;Finals",'Season Log'!$E$4:$E$203,9)</f>
        <v>0</v>
      </c>
      <c r="BA14" s="18">
        <f>COUNTIFS('Season Log'!$C$4:$C$203,$A14,'Season Log'!$G$4:$G$203,"Post",'Season Log'!$B$4:$B$203,"&lt;&gt;Finals",'Season Log'!$E$4:$E$203,10)</f>
        <v>0</v>
      </c>
      <c r="BB14" s="18">
        <f>COUNTIFS('Season Log'!$C$4:$C$203,$A14,'Season Log'!$G$4:$G$203,"Post",'Season Log'!$B$4:$B$203,"&lt;&gt;Finals",'Season Log'!$E$4:$E$203,11)</f>
        <v>0</v>
      </c>
      <c r="BC14" s="18">
        <f>COUNTIFS('Season Log'!$C$4:$C$203,$A14,'Season Log'!$G$4:$G$203,"Post",'Season Log'!$B$4:$B$203,"&lt;&gt;Finals",'Season Log'!$E$4:$E$203,12)</f>
        <v>0</v>
      </c>
      <c r="BD14" s="18">
        <f>COUNTIFS('Season Log'!$C$4:$C$203,$A14,'Season Log'!$G$4:$G$203,"Post",'Season Log'!$B$4:$B$203,"&lt;&gt;Finals",'Season Log'!$E$4:$E$203,13)</f>
        <v>0</v>
      </c>
      <c r="BE14" s="18">
        <f t="shared" si="3"/>
        <v>0</v>
      </c>
      <c r="BF14" s="18" t="str">
        <f>IF(OR($A14="",IFERROR(INDEX(Setup!$C$18:$C$31,MATCH($A14,Setup!$B$18:$B$31,0)),"No")&lt;&gt;"Yes"),"",IF(AND(Setup!$B$3&lt;&gt;"Stage 2",Setup!$B$3&lt;&gt;"Stage 3"),"Stage 2/3 not selected",IF(Setup!$B$11="Finals","Finals - rotation waived",IF(AND($O14&gt;=5,$AC14&gt;=5,$AQ14&gt;=5,$BE14&gt;=5),"OK","Needs rotation"))))</f>
        <v/>
      </c>
    </row>
    <row r="15" spans="1:58" ht="15" customHeight="1">
      <c r="A15" s="18" t="str">
        <f>Setup!$B$27</f>
        <v>Player 10</v>
      </c>
      <c r="B15" s="18">
        <f>COUNTIFS('Season Log'!$C$4:$C$203,$A15,'Season Log'!$G$4:$G$203,"Pre",'Season Log'!$B$4:$B$203,"&lt;&gt;Finals",'Season Log'!$D$4:$D$203,1)</f>
        <v>0</v>
      </c>
      <c r="C15" s="18">
        <f>COUNTIFS('Season Log'!$C$4:$C$203,$A15,'Season Log'!$G$4:$G$203,"Pre",'Season Log'!$B$4:$B$203,"&lt;&gt;Finals",'Season Log'!$D$4:$D$203,2)</f>
        <v>0</v>
      </c>
      <c r="D15" s="18">
        <f>COUNTIFS('Season Log'!$C$4:$C$203,$A15,'Season Log'!$G$4:$G$203,"Pre",'Season Log'!$B$4:$B$203,"&lt;&gt;Finals",'Season Log'!$D$4:$D$203,3)</f>
        <v>0</v>
      </c>
      <c r="E15" s="18">
        <f>COUNTIFS('Season Log'!$C$4:$C$203,$A15,'Season Log'!$G$4:$G$203,"Pre",'Season Log'!$B$4:$B$203,"&lt;&gt;Finals",'Season Log'!$D$4:$D$203,4)</f>
        <v>0</v>
      </c>
      <c r="F15" s="18">
        <f>COUNTIFS('Season Log'!$C$4:$C$203,$A15,'Season Log'!$G$4:$G$203,"Pre",'Season Log'!$B$4:$B$203,"&lt;&gt;Finals",'Season Log'!$D$4:$D$203,5)</f>
        <v>0</v>
      </c>
      <c r="G15" s="18">
        <f>COUNTIFS('Season Log'!$C$4:$C$203,$A15,'Season Log'!$G$4:$G$203,"Pre",'Season Log'!$B$4:$B$203,"&lt;&gt;Finals",'Season Log'!$D$4:$D$203,6)</f>
        <v>0</v>
      </c>
      <c r="H15" s="18">
        <f>COUNTIFS('Season Log'!$C$4:$C$203,$A15,'Season Log'!$G$4:$G$203,"Pre",'Season Log'!$B$4:$B$203,"&lt;&gt;Finals",'Season Log'!$D$4:$D$203,7)</f>
        <v>0</v>
      </c>
      <c r="I15" s="18">
        <f>COUNTIFS('Season Log'!$C$4:$C$203,$A15,'Season Log'!$G$4:$G$203,"Pre",'Season Log'!$B$4:$B$203,"&lt;&gt;Finals",'Season Log'!$D$4:$D$203,8)</f>
        <v>0</v>
      </c>
      <c r="J15" s="18">
        <f>COUNTIFS('Season Log'!$C$4:$C$203,$A15,'Season Log'!$G$4:$G$203,"Pre",'Season Log'!$B$4:$B$203,"&lt;&gt;Finals",'Season Log'!$D$4:$D$203,9)</f>
        <v>0</v>
      </c>
      <c r="K15" s="18">
        <f>COUNTIFS('Season Log'!$C$4:$C$203,$A15,'Season Log'!$G$4:$G$203,"Pre",'Season Log'!$B$4:$B$203,"&lt;&gt;Finals",'Season Log'!$D$4:$D$203,10)</f>
        <v>0</v>
      </c>
      <c r="L15" s="18">
        <f>COUNTIFS('Season Log'!$C$4:$C$203,$A15,'Season Log'!$G$4:$G$203,"Pre",'Season Log'!$B$4:$B$203,"&lt;&gt;Finals",'Season Log'!$D$4:$D$203,11)</f>
        <v>0</v>
      </c>
      <c r="M15" s="18">
        <f>COUNTIFS('Season Log'!$C$4:$C$203,$A15,'Season Log'!$G$4:$G$203,"Pre",'Season Log'!$B$4:$B$203,"&lt;&gt;Finals",'Season Log'!$D$4:$D$203,12)</f>
        <v>0</v>
      </c>
      <c r="N15" s="18">
        <f>COUNTIFS('Season Log'!$C$4:$C$203,$A15,'Season Log'!$G$4:$G$203,"Pre",'Season Log'!$B$4:$B$203,"&lt;&gt;Finals",'Season Log'!$D$4:$D$203,13)</f>
        <v>0</v>
      </c>
      <c r="O15" s="18">
        <f t="shared" si="0"/>
        <v>0</v>
      </c>
      <c r="P15" s="18">
        <f>COUNTIFS('Season Log'!$C$4:$C$203,$A15,'Season Log'!$G$4:$G$203,"Post",'Season Log'!$B$4:$B$203,"&lt;&gt;Finals",'Season Log'!$D$4:$D$203,1)</f>
        <v>0</v>
      </c>
      <c r="Q15" s="18">
        <f>COUNTIFS('Season Log'!$C$4:$C$203,$A15,'Season Log'!$G$4:$G$203,"Post",'Season Log'!$B$4:$B$203,"&lt;&gt;Finals",'Season Log'!$D$4:$D$203,2)</f>
        <v>0</v>
      </c>
      <c r="R15" s="18">
        <f>COUNTIFS('Season Log'!$C$4:$C$203,$A15,'Season Log'!$G$4:$G$203,"Post",'Season Log'!$B$4:$B$203,"&lt;&gt;Finals",'Season Log'!$D$4:$D$203,3)</f>
        <v>0</v>
      </c>
      <c r="S15" s="18">
        <f>COUNTIFS('Season Log'!$C$4:$C$203,$A15,'Season Log'!$G$4:$G$203,"Post",'Season Log'!$B$4:$B$203,"&lt;&gt;Finals",'Season Log'!$D$4:$D$203,4)</f>
        <v>0</v>
      </c>
      <c r="T15" s="18">
        <f>COUNTIFS('Season Log'!$C$4:$C$203,$A15,'Season Log'!$G$4:$G$203,"Post",'Season Log'!$B$4:$B$203,"&lt;&gt;Finals",'Season Log'!$D$4:$D$203,5)</f>
        <v>0</v>
      </c>
      <c r="U15" s="18">
        <f>COUNTIFS('Season Log'!$C$4:$C$203,$A15,'Season Log'!$G$4:$G$203,"Post",'Season Log'!$B$4:$B$203,"&lt;&gt;Finals",'Season Log'!$D$4:$D$203,6)</f>
        <v>0</v>
      </c>
      <c r="V15" s="18">
        <f>COUNTIFS('Season Log'!$C$4:$C$203,$A15,'Season Log'!$G$4:$G$203,"Post",'Season Log'!$B$4:$B$203,"&lt;&gt;Finals",'Season Log'!$D$4:$D$203,7)</f>
        <v>0</v>
      </c>
      <c r="W15" s="18">
        <f>COUNTIFS('Season Log'!$C$4:$C$203,$A15,'Season Log'!$G$4:$G$203,"Post",'Season Log'!$B$4:$B$203,"&lt;&gt;Finals",'Season Log'!$D$4:$D$203,8)</f>
        <v>0</v>
      </c>
      <c r="X15" s="18">
        <f>COUNTIFS('Season Log'!$C$4:$C$203,$A15,'Season Log'!$G$4:$G$203,"Post",'Season Log'!$B$4:$B$203,"&lt;&gt;Finals",'Season Log'!$D$4:$D$203,9)</f>
        <v>0</v>
      </c>
      <c r="Y15" s="18">
        <f>COUNTIFS('Season Log'!$C$4:$C$203,$A15,'Season Log'!$G$4:$G$203,"Post",'Season Log'!$B$4:$B$203,"&lt;&gt;Finals",'Season Log'!$D$4:$D$203,10)</f>
        <v>0</v>
      </c>
      <c r="Z15" s="18">
        <f>COUNTIFS('Season Log'!$C$4:$C$203,$A15,'Season Log'!$G$4:$G$203,"Post",'Season Log'!$B$4:$B$203,"&lt;&gt;Finals",'Season Log'!$D$4:$D$203,11)</f>
        <v>0</v>
      </c>
      <c r="AA15" s="18">
        <f>COUNTIFS('Season Log'!$C$4:$C$203,$A15,'Season Log'!$G$4:$G$203,"Post",'Season Log'!$B$4:$B$203,"&lt;&gt;Finals",'Season Log'!$D$4:$D$203,12)</f>
        <v>0</v>
      </c>
      <c r="AB15" s="18">
        <f>COUNTIFS('Season Log'!$C$4:$C$203,$A15,'Season Log'!$G$4:$G$203,"Post",'Season Log'!$B$4:$B$203,"&lt;&gt;Finals",'Season Log'!$D$4:$D$203,13)</f>
        <v>0</v>
      </c>
      <c r="AC15" s="18">
        <f t="shared" si="1"/>
        <v>0</v>
      </c>
      <c r="AD15" s="18">
        <f>COUNTIFS('Season Log'!$C$4:$C$203,$A15,'Season Log'!$G$4:$G$203,"Pre",'Season Log'!$B$4:$B$203,"&lt;&gt;Finals",'Season Log'!$E$4:$E$203,1)</f>
        <v>0</v>
      </c>
      <c r="AE15" s="18">
        <f>COUNTIFS('Season Log'!$C$4:$C$203,$A15,'Season Log'!$G$4:$G$203,"Pre",'Season Log'!$B$4:$B$203,"&lt;&gt;Finals",'Season Log'!$E$4:$E$203,2)</f>
        <v>0</v>
      </c>
      <c r="AF15" s="18">
        <f>COUNTIFS('Season Log'!$C$4:$C$203,$A15,'Season Log'!$G$4:$G$203,"Pre",'Season Log'!$B$4:$B$203,"&lt;&gt;Finals",'Season Log'!$E$4:$E$203,3)</f>
        <v>0</v>
      </c>
      <c r="AG15" s="18">
        <f>COUNTIFS('Season Log'!$C$4:$C$203,$A15,'Season Log'!$G$4:$G$203,"Pre",'Season Log'!$B$4:$B$203,"&lt;&gt;Finals",'Season Log'!$E$4:$E$203,4)</f>
        <v>0</v>
      </c>
      <c r="AH15" s="18">
        <f>COUNTIFS('Season Log'!$C$4:$C$203,$A15,'Season Log'!$G$4:$G$203,"Pre",'Season Log'!$B$4:$B$203,"&lt;&gt;Finals",'Season Log'!$E$4:$E$203,5)</f>
        <v>0</v>
      </c>
      <c r="AI15" s="18">
        <f>COUNTIFS('Season Log'!$C$4:$C$203,$A15,'Season Log'!$G$4:$G$203,"Pre",'Season Log'!$B$4:$B$203,"&lt;&gt;Finals",'Season Log'!$E$4:$E$203,6)</f>
        <v>0</v>
      </c>
      <c r="AJ15" s="18">
        <f>COUNTIFS('Season Log'!$C$4:$C$203,$A15,'Season Log'!$G$4:$G$203,"Pre",'Season Log'!$B$4:$B$203,"&lt;&gt;Finals",'Season Log'!$E$4:$E$203,7)</f>
        <v>0</v>
      </c>
      <c r="AK15" s="18">
        <f>COUNTIFS('Season Log'!$C$4:$C$203,$A15,'Season Log'!$G$4:$G$203,"Pre",'Season Log'!$B$4:$B$203,"&lt;&gt;Finals",'Season Log'!$E$4:$E$203,8)</f>
        <v>0</v>
      </c>
      <c r="AL15" s="18">
        <f>COUNTIFS('Season Log'!$C$4:$C$203,$A15,'Season Log'!$G$4:$G$203,"Pre",'Season Log'!$B$4:$B$203,"&lt;&gt;Finals",'Season Log'!$E$4:$E$203,9)</f>
        <v>0</v>
      </c>
      <c r="AM15" s="18">
        <f>COUNTIFS('Season Log'!$C$4:$C$203,$A15,'Season Log'!$G$4:$G$203,"Pre",'Season Log'!$B$4:$B$203,"&lt;&gt;Finals",'Season Log'!$E$4:$E$203,10)</f>
        <v>0</v>
      </c>
      <c r="AN15" s="18">
        <f>COUNTIFS('Season Log'!$C$4:$C$203,$A15,'Season Log'!$G$4:$G$203,"Pre",'Season Log'!$B$4:$B$203,"&lt;&gt;Finals",'Season Log'!$E$4:$E$203,11)</f>
        <v>0</v>
      </c>
      <c r="AO15" s="18">
        <f>COUNTIFS('Season Log'!$C$4:$C$203,$A15,'Season Log'!$G$4:$G$203,"Pre",'Season Log'!$B$4:$B$203,"&lt;&gt;Finals",'Season Log'!$E$4:$E$203,12)</f>
        <v>0</v>
      </c>
      <c r="AP15" s="18">
        <f>COUNTIFS('Season Log'!$C$4:$C$203,$A15,'Season Log'!$G$4:$G$203,"Pre",'Season Log'!$B$4:$B$203,"&lt;&gt;Finals",'Season Log'!$E$4:$E$203,13)</f>
        <v>0</v>
      </c>
      <c r="AQ15" s="18">
        <f t="shared" si="2"/>
        <v>0</v>
      </c>
      <c r="AR15" s="18">
        <f>COUNTIFS('Season Log'!$C$4:$C$203,$A15,'Season Log'!$G$4:$G$203,"Post",'Season Log'!$B$4:$B$203,"&lt;&gt;Finals",'Season Log'!$E$4:$E$203,1)</f>
        <v>0</v>
      </c>
      <c r="AS15" s="18">
        <f>COUNTIFS('Season Log'!$C$4:$C$203,$A15,'Season Log'!$G$4:$G$203,"Post",'Season Log'!$B$4:$B$203,"&lt;&gt;Finals",'Season Log'!$E$4:$E$203,2)</f>
        <v>0</v>
      </c>
      <c r="AT15" s="18">
        <f>COUNTIFS('Season Log'!$C$4:$C$203,$A15,'Season Log'!$G$4:$G$203,"Post",'Season Log'!$B$4:$B$203,"&lt;&gt;Finals",'Season Log'!$E$4:$E$203,3)</f>
        <v>0</v>
      </c>
      <c r="AU15" s="18">
        <f>COUNTIFS('Season Log'!$C$4:$C$203,$A15,'Season Log'!$G$4:$G$203,"Post",'Season Log'!$B$4:$B$203,"&lt;&gt;Finals",'Season Log'!$E$4:$E$203,4)</f>
        <v>0</v>
      </c>
      <c r="AV15" s="18">
        <f>COUNTIFS('Season Log'!$C$4:$C$203,$A15,'Season Log'!$G$4:$G$203,"Post",'Season Log'!$B$4:$B$203,"&lt;&gt;Finals",'Season Log'!$E$4:$E$203,5)</f>
        <v>0</v>
      </c>
      <c r="AW15" s="18">
        <f>COUNTIFS('Season Log'!$C$4:$C$203,$A15,'Season Log'!$G$4:$G$203,"Post",'Season Log'!$B$4:$B$203,"&lt;&gt;Finals",'Season Log'!$E$4:$E$203,6)</f>
        <v>0</v>
      </c>
      <c r="AX15" s="18">
        <f>COUNTIFS('Season Log'!$C$4:$C$203,$A15,'Season Log'!$G$4:$G$203,"Post",'Season Log'!$B$4:$B$203,"&lt;&gt;Finals",'Season Log'!$E$4:$E$203,7)</f>
        <v>0</v>
      </c>
      <c r="AY15" s="18">
        <f>COUNTIFS('Season Log'!$C$4:$C$203,$A15,'Season Log'!$G$4:$G$203,"Post",'Season Log'!$B$4:$B$203,"&lt;&gt;Finals",'Season Log'!$E$4:$E$203,8)</f>
        <v>0</v>
      </c>
      <c r="AZ15" s="18">
        <f>COUNTIFS('Season Log'!$C$4:$C$203,$A15,'Season Log'!$G$4:$G$203,"Post",'Season Log'!$B$4:$B$203,"&lt;&gt;Finals",'Season Log'!$E$4:$E$203,9)</f>
        <v>0</v>
      </c>
      <c r="BA15" s="18">
        <f>COUNTIFS('Season Log'!$C$4:$C$203,$A15,'Season Log'!$G$4:$G$203,"Post",'Season Log'!$B$4:$B$203,"&lt;&gt;Finals",'Season Log'!$E$4:$E$203,10)</f>
        <v>0</v>
      </c>
      <c r="BB15" s="18">
        <f>COUNTIFS('Season Log'!$C$4:$C$203,$A15,'Season Log'!$G$4:$G$203,"Post",'Season Log'!$B$4:$B$203,"&lt;&gt;Finals",'Season Log'!$E$4:$E$203,11)</f>
        <v>0</v>
      </c>
      <c r="BC15" s="18">
        <f>COUNTIFS('Season Log'!$C$4:$C$203,$A15,'Season Log'!$G$4:$G$203,"Post",'Season Log'!$B$4:$B$203,"&lt;&gt;Finals",'Season Log'!$E$4:$E$203,12)</f>
        <v>0</v>
      </c>
      <c r="BD15" s="18">
        <f>COUNTIFS('Season Log'!$C$4:$C$203,$A15,'Season Log'!$G$4:$G$203,"Post",'Season Log'!$B$4:$B$203,"&lt;&gt;Finals",'Season Log'!$E$4:$E$203,13)</f>
        <v>0</v>
      </c>
      <c r="BE15" s="18">
        <f t="shared" si="3"/>
        <v>0</v>
      </c>
      <c r="BF15" s="18" t="str">
        <f>IF(OR($A15="",IFERROR(INDEX(Setup!$C$18:$C$31,MATCH($A15,Setup!$B$18:$B$31,0)),"No")&lt;&gt;"Yes"),"",IF(AND(Setup!$B$3&lt;&gt;"Stage 2",Setup!$B$3&lt;&gt;"Stage 3"),"Stage 2/3 not selected",IF(Setup!$B$11="Finals","Finals - rotation waived",IF(AND($O15&gt;=5,$AC15&gt;=5,$AQ15&gt;=5,$BE15&gt;=5),"OK","Needs rotation"))))</f>
        <v/>
      </c>
    </row>
    <row r="16" spans="1:58" ht="15" customHeight="1">
      <c r="A16" s="18" t="str">
        <f>Setup!$B$28</f>
        <v>Player 11</v>
      </c>
      <c r="B16" s="18">
        <f>COUNTIFS('Season Log'!$C$4:$C$203,$A16,'Season Log'!$G$4:$G$203,"Pre",'Season Log'!$B$4:$B$203,"&lt;&gt;Finals",'Season Log'!$D$4:$D$203,1)</f>
        <v>0</v>
      </c>
      <c r="C16" s="18">
        <f>COUNTIFS('Season Log'!$C$4:$C$203,$A16,'Season Log'!$G$4:$G$203,"Pre",'Season Log'!$B$4:$B$203,"&lt;&gt;Finals",'Season Log'!$D$4:$D$203,2)</f>
        <v>0</v>
      </c>
      <c r="D16" s="18">
        <f>COUNTIFS('Season Log'!$C$4:$C$203,$A16,'Season Log'!$G$4:$G$203,"Pre",'Season Log'!$B$4:$B$203,"&lt;&gt;Finals",'Season Log'!$D$4:$D$203,3)</f>
        <v>0</v>
      </c>
      <c r="E16" s="18">
        <f>COUNTIFS('Season Log'!$C$4:$C$203,$A16,'Season Log'!$G$4:$G$203,"Pre",'Season Log'!$B$4:$B$203,"&lt;&gt;Finals",'Season Log'!$D$4:$D$203,4)</f>
        <v>0</v>
      </c>
      <c r="F16" s="18">
        <f>COUNTIFS('Season Log'!$C$4:$C$203,$A16,'Season Log'!$G$4:$G$203,"Pre",'Season Log'!$B$4:$B$203,"&lt;&gt;Finals",'Season Log'!$D$4:$D$203,5)</f>
        <v>0</v>
      </c>
      <c r="G16" s="18">
        <f>COUNTIFS('Season Log'!$C$4:$C$203,$A16,'Season Log'!$G$4:$G$203,"Pre",'Season Log'!$B$4:$B$203,"&lt;&gt;Finals",'Season Log'!$D$4:$D$203,6)</f>
        <v>0</v>
      </c>
      <c r="H16" s="18">
        <f>COUNTIFS('Season Log'!$C$4:$C$203,$A16,'Season Log'!$G$4:$G$203,"Pre",'Season Log'!$B$4:$B$203,"&lt;&gt;Finals",'Season Log'!$D$4:$D$203,7)</f>
        <v>0</v>
      </c>
      <c r="I16" s="18">
        <f>COUNTIFS('Season Log'!$C$4:$C$203,$A16,'Season Log'!$G$4:$G$203,"Pre",'Season Log'!$B$4:$B$203,"&lt;&gt;Finals",'Season Log'!$D$4:$D$203,8)</f>
        <v>0</v>
      </c>
      <c r="J16" s="18">
        <f>COUNTIFS('Season Log'!$C$4:$C$203,$A16,'Season Log'!$G$4:$G$203,"Pre",'Season Log'!$B$4:$B$203,"&lt;&gt;Finals",'Season Log'!$D$4:$D$203,9)</f>
        <v>0</v>
      </c>
      <c r="K16" s="18">
        <f>COUNTIFS('Season Log'!$C$4:$C$203,$A16,'Season Log'!$G$4:$G$203,"Pre",'Season Log'!$B$4:$B$203,"&lt;&gt;Finals",'Season Log'!$D$4:$D$203,10)</f>
        <v>0</v>
      </c>
      <c r="L16" s="18">
        <f>COUNTIFS('Season Log'!$C$4:$C$203,$A16,'Season Log'!$G$4:$G$203,"Pre",'Season Log'!$B$4:$B$203,"&lt;&gt;Finals",'Season Log'!$D$4:$D$203,11)</f>
        <v>0</v>
      </c>
      <c r="M16" s="18">
        <f>COUNTIFS('Season Log'!$C$4:$C$203,$A16,'Season Log'!$G$4:$G$203,"Pre",'Season Log'!$B$4:$B$203,"&lt;&gt;Finals",'Season Log'!$D$4:$D$203,12)</f>
        <v>0</v>
      </c>
      <c r="N16" s="18">
        <f>COUNTIFS('Season Log'!$C$4:$C$203,$A16,'Season Log'!$G$4:$G$203,"Pre",'Season Log'!$B$4:$B$203,"&lt;&gt;Finals",'Season Log'!$D$4:$D$203,13)</f>
        <v>0</v>
      </c>
      <c r="O16" s="18">
        <f t="shared" si="0"/>
        <v>0</v>
      </c>
      <c r="P16" s="18">
        <f>COUNTIFS('Season Log'!$C$4:$C$203,$A16,'Season Log'!$G$4:$G$203,"Post",'Season Log'!$B$4:$B$203,"&lt;&gt;Finals",'Season Log'!$D$4:$D$203,1)</f>
        <v>0</v>
      </c>
      <c r="Q16" s="18">
        <f>COUNTIFS('Season Log'!$C$4:$C$203,$A16,'Season Log'!$G$4:$G$203,"Post",'Season Log'!$B$4:$B$203,"&lt;&gt;Finals",'Season Log'!$D$4:$D$203,2)</f>
        <v>0</v>
      </c>
      <c r="R16" s="18">
        <f>COUNTIFS('Season Log'!$C$4:$C$203,$A16,'Season Log'!$G$4:$G$203,"Post",'Season Log'!$B$4:$B$203,"&lt;&gt;Finals",'Season Log'!$D$4:$D$203,3)</f>
        <v>0</v>
      </c>
      <c r="S16" s="18">
        <f>COUNTIFS('Season Log'!$C$4:$C$203,$A16,'Season Log'!$G$4:$G$203,"Post",'Season Log'!$B$4:$B$203,"&lt;&gt;Finals",'Season Log'!$D$4:$D$203,4)</f>
        <v>0</v>
      </c>
      <c r="T16" s="18">
        <f>COUNTIFS('Season Log'!$C$4:$C$203,$A16,'Season Log'!$G$4:$G$203,"Post",'Season Log'!$B$4:$B$203,"&lt;&gt;Finals",'Season Log'!$D$4:$D$203,5)</f>
        <v>0</v>
      </c>
      <c r="U16" s="18">
        <f>COUNTIFS('Season Log'!$C$4:$C$203,$A16,'Season Log'!$G$4:$G$203,"Post",'Season Log'!$B$4:$B$203,"&lt;&gt;Finals",'Season Log'!$D$4:$D$203,6)</f>
        <v>0</v>
      </c>
      <c r="V16" s="18">
        <f>COUNTIFS('Season Log'!$C$4:$C$203,$A16,'Season Log'!$G$4:$G$203,"Post",'Season Log'!$B$4:$B$203,"&lt;&gt;Finals",'Season Log'!$D$4:$D$203,7)</f>
        <v>0</v>
      </c>
      <c r="W16" s="18">
        <f>COUNTIFS('Season Log'!$C$4:$C$203,$A16,'Season Log'!$G$4:$G$203,"Post",'Season Log'!$B$4:$B$203,"&lt;&gt;Finals",'Season Log'!$D$4:$D$203,8)</f>
        <v>0</v>
      </c>
      <c r="X16" s="18">
        <f>COUNTIFS('Season Log'!$C$4:$C$203,$A16,'Season Log'!$G$4:$G$203,"Post",'Season Log'!$B$4:$B$203,"&lt;&gt;Finals",'Season Log'!$D$4:$D$203,9)</f>
        <v>0</v>
      </c>
      <c r="Y16" s="18">
        <f>COUNTIFS('Season Log'!$C$4:$C$203,$A16,'Season Log'!$G$4:$G$203,"Post",'Season Log'!$B$4:$B$203,"&lt;&gt;Finals",'Season Log'!$D$4:$D$203,10)</f>
        <v>0</v>
      </c>
      <c r="Z16" s="18">
        <f>COUNTIFS('Season Log'!$C$4:$C$203,$A16,'Season Log'!$G$4:$G$203,"Post",'Season Log'!$B$4:$B$203,"&lt;&gt;Finals",'Season Log'!$D$4:$D$203,11)</f>
        <v>0</v>
      </c>
      <c r="AA16" s="18">
        <f>COUNTIFS('Season Log'!$C$4:$C$203,$A16,'Season Log'!$G$4:$G$203,"Post",'Season Log'!$B$4:$B$203,"&lt;&gt;Finals",'Season Log'!$D$4:$D$203,12)</f>
        <v>0</v>
      </c>
      <c r="AB16" s="18">
        <f>COUNTIFS('Season Log'!$C$4:$C$203,$A16,'Season Log'!$G$4:$G$203,"Post",'Season Log'!$B$4:$B$203,"&lt;&gt;Finals",'Season Log'!$D$4:$D$203,13)</f>
        <v>0</v>
      </c>
      <c r="AC16" s="18">
        <f t="shared" si="1"/>
        <v>0</v>
      </c>
      <c r="AD16" s="18">
        <f>COUNTIFS('Season Log'!$C$4:$C$203,$A16,'Season Log'!$G$4:$G$203,"Pre",'Season Log'!$B$4:$B$203,"&lt;&gt;Finals",'Season Log'!$E$4:$E$203,1)</f>
        <v>0</v>
      </c>
      <c r="AE16" s="18">
        <f>COUNTIFS('Season Log'!$C$4:$C$203,$A16,'Season Log'!$G$4:$G$203,"Pre",'Season Log'!$B$4:$B$203,"&lt;&gt;Finals",'Season Log'!$E$4:$E$203,2)</f>
        <v>0</v>
      </c>
      <c r="AF16" s="18">
        <f>COUNTIFS('Season Log'!$C$4:$C$203,$A16,'Season Log'!$G$4:$G$203,"Pre",'Season Log'!$B$4:$B$203,"&lt;&gt;Finals",'Season Log'!$E$4:$E$203,3)</f>
        <v>0</v>
      </c>
      <c r="AG16" s="18">
        <f>COUNTIFS('Season Log'!$C$4:$C$203,$A16,'Season Log'!$G$4:$G$203,"Pre",'Season Log'!$B$4:$B$203,"&lt;&gt;Finals",'Season Log'!$E$4:$E$203,4)</f>
        <v>0</v>
      </c>
      <c r="AH16" s="18">
        <f>COUNTIFS('Season Log'!$C$4:$C$203,$A16,'Season Log'!$G$4:$G$203,"Pre",'Season Log'!$B$4:$B$203,"&lt;&gt;Finals",'Season Log'!$E$4:$E$203,5)</f>
        <v>0</v>
      </c>
      <c r="AI16" s="18">
        <f>COUNTIFS('Season Log'!$C$4:$C$203,$A16,'Season Log'!$G$4:$G$203,"Pre",'Season Log'!$B$4:$B$203,"&lt;&gt;Finals",'Season Log'!$E$4:$E$203,6)</f>
        <v>0</v>
      </c>
      <c r="AJ16" s="18">
        <f>COUNTIFS('Season Log'!$C$4:$C$203,$A16,'Season Log'!$G$4:$G$203,"Pre",'Season Log'!$B$4:$B$203,"&lt;&gt;Finals",'Season Log'!$E$4:$E$203,7)</f>
        <v>0</v>
      </c>
      <c r="AK16" s="18">
        <f>COUNTIFS('Season Log'!$C$4:$C$203,$A16,'Season Log'!$G$4:$G$203,"Pre",'Season Log'!$B$4:$B$203,"&lt;&gt;Finals",'Season Log'!$E$4:$E$203,8)</f>
        <v>0</v>
      </c>
      <c r="AL16" s="18">
        <f>COUNTIFS('Season Log'!$C$4:$C$203,$A16,'Season Log'!$G$4:$G$203,"Pre",'Season Log'!$B$4:$B$203,"&lt;&gt;Finals",'Season Log'!$E$4:$E$203,9)</f>
        <v>0</v>
      </c>
      <c r="AM16" s="18">
        <f>COUNTIFS('Season Log'!$C$4:$C$203,$A16,'Season Log'!$G$4:$G$203,"Pre",'Season Log'!$B$4:$B$203,"&lt;&gt;Finals",'Season Log'!$E$4:$E$203,10)</f>
        <v>0</v>
      </c>
      <c r="AN16" s="18">
        <f>COUNTIFS('Season Log'!$C$4:$C$203,$A16,'Season Log'!$G$4:$G$203,"Pre",'Season Log'!$B$4:$B$203,"&lt;&gt;Finals",'Season Log'!$E$4:$E$203,11)</f>
        <v>0</v>
      </c>
      <c r="AO16" s="18">
        <f>COUNTIFS('Season Log'!$C$4:$C$203,$A16,'Season Log'!$G$4:$G$203,"Pre",'Season Log'!$B$4:$B$203,"&lt;&gt;Finals",'Season Log'!$E$4:$E$203,12)</f>
        <v>0</v>
      </c>
      <c r="AP16" s="18">
        <f>COUNTIFS('Season Log'!$C$4:$C$203,$A16,'Season Log'!$G$4:$G$203,"Pre",'Season Log'!$B$4:$B$203,"&lt;&gt;Finals",'Season Log'!$E$4:$E$203,13)</f>
        <v>0</v>
      </c>
      <c r="AQ16" s="18">
        <f t="shared" si="2"/>
        <v>0</v>
      </c>
      <c r="AR16" s="18">
        <f>COUNTIFS('Season Log'!$C$4:$C$203,$A16,'Season Log'!$G$4:$G$203,"Post",'Season Log'!$B$4:$B$203,"&lt;&gt;Finals",'Season Log'!$E$4:$E$203,1)</f>
        <v>0</v>
      </c>
      <c r="AS16" s="18">
        <f>COUNTIFS('Season Log'!$C$4:$C$203,$A16,'Season Log'!$G$4:$G$203,"Post",'Season Log'!$B$4:$B$203,"&lt;&gt;Finals",'Season Log'!$E$4:$E$203,2)</f>
        <v>0</v>
      </c>
      <c r="AT16" s="18">
        <f>COUNTIFS('Season Log'!$C$4:$C$203,$A16,'Season Log'!$G$4:$G$203,"Post",'Season Log'!$B$4:$B$203,"&lt;&gt;Finals",'Season Log'!$E$4:$E$203,3)</f>
        <v>0</v>
      </c>
      <c r="AU16" s="18">
        <f>COUNTIFS('Season Log'!$C$4:$C$203,$A16,'Season Log'!$G$4:$G$203,"Post",'Season Log'!$B$4:$B$203,"&lt;&gt;Finals",'Season Log'!$E$4:$E$203,4)</f>
        <v>0</v>
      </c>
      <c r="AV16" s="18">
        <f>COUNTIFS('Season Log'!$C$4:$C$203,$A16,'Season Log'!$G$4:$G$203,"Post",'Season Log'!$B$4:$B$203,"&lt;&gt;Finals",'Season Log'!$E$4:$E$203,5)</f>
        <v>0</v>
      </c>
      <c r="AW16" s="18">
        <f>COUNTIFS('Season Log'!$C$4:$C$203,$A16,'Season Log'!$G$4:$G$203,"Post",'Season Log'!$B$4:$B$203,"&lt;&gt;Finals",'Season Log'!$E$4:$E$203,6)</f>
        <v>0</v>
      </c>
      <c r="AX16" s="18">
        <f>COUNTIFS('Season Log'!$C$4:$C$203,$A16,'Season Log'!$G$4:$G$203,"Post",'Season Log'!$B$4:$B$203,"&lt;&gt;Finals",'Season Log'!$E$4:$E$203,7)</f>
        <v>0</v>
      </c>
      <c r="AY16" s="18">
        <f>COUNTIFS('Season Log'!$C$4:$C$203,$A16,'Season Log'!$G$4:$G$203,"Post",'Season Log'!$B$4:$B$203,"&lt;&gt;Finals",'Season Log'!$E$4:$E$203,8)</f>
        <v>0</v>
      </c>
      <c r="AZ16" s="18">
        <f>COUNTIFS('Season Log'!$C$4:$C$203,$A16,'Season Log'!$G$4:$G$203,"Post",'Season Log'!$B$4:$B$203,"&lt;&gt;Finals",'Season Log'!$E$4:$E$203,9)</f>
        <v>0</v>
      </c>
      <c r="BA16" s="18">
        <f>COUNTIFS('Season Log'!$C$4:$C$203,$A16,'Season Log'!$G$4:$G$203,"Post",'Season Log'!$B$4:$B$203,"&lt;&gt;Finals",'Season Log'!$E$4:$E$203,10)</f>
        <v>0</v>
      </c>
      <c r="BB16" s="18">
        <f>COUNTIFS('Season Log'!$C$4:$C$203,$A16,'Season Log'!$G$4:$G$203,"Post",'Season Log'!$B$4:$B$203,"&lt;&gt;Finals",'Season Log'!$E$4:$E$203,11)</f>
        <v>0</v>
      </c>
      <c r="BC16" s="18">
        <f>COUNTIFS('Season Log'!$C$4:$C$203,$A16,'Season Log'!$G$4:$G$203,"Post",'Season Log'!$B$4:$B$203,"&lt;&gt;Finals",'Season Log'!$E$4:$E$203,12)</f>
        <v>0</v>
      </c>
      <c r="BD16" s="18">
        <f>COUNTIFS('Season Log'!$C$4:$C$203,$A16,'Season Log'!$G$4:$G$203,"Post",'Season Log'!$B$4:$B$203,"&lt;&gt;Finals",'Season Log'!$E$4:$E$203,13)</f>
        <v>0</v>
      </c>
      <c r="BE16" s="18">
        <f t="shared" si="3"/>
        <v>0</v>
      </c>
      <c r="BF16" s="18" t="str">
        <f>IF(OR($A16="",IFERROR(INDEX(Setup!$C$18:$C$31,MATCH($A16,Setup!$B$18:$B$31,0)),"No")&lt;&gt;"Yes"),"",IF(AND(Setup!$B$3&lt;&gt;"Stage 2",Setup!$B$3&lt;&gt;"Stage 3"),"Stage 2/3 not selected",IF(Setup!$B$11="Finals","Finals - rotation waived",IF(AND($O16&gt;=5,$AC16&gt;=5,$AQ16&gt;=5,$BE16&gt;=5),"OK","Needs rotation"))))</f>
        <v/>
      </c>
    </row>
    <row r="17" spans="1:58" ht="15" customHeight="1">
      <c r="A17" s="18" t="str">
        <f>Setup!$B$29</f>
        <v>Player 12</v>
      </c>
      <c r="B17" s="18">
        <f>COUNTIFS('Season Log'!$C$4:$C$203,$A17,'Season Log'!$G$4:$G$203,"Pre",'Season Log'!$B$4:$B$203,"&lt;&gt;Finals",'Season Log'!$D$4:$D$203,1)</f>
        <v>0</v>
      </c>
      <c r="C17" s="18">
        <f>COUNTIFS('Season Log'!$C$4:$C$203,$A17,'Season Log'!$G$4:$G$203,"Pre",'Season Log'!$B$4:$B$203,"&lt;&gt;Finals",'Season Log'!$D$4:$D$203,2)</f>
        <v>0</v>
      </c>
      <c r="D17" s="18">
        <f>COUNTIFS('Season Log'!$C$4:$C$203,$A17,'Season Log'!$G$4:$G$203,"Pre",'Season Log'!$B$4:$B$203,"&lt;&gt;Finals",'Season Log'!$D$4:$D$203,3)</f>
        <v>0</v>
      </c>
      <c r="E17" s="18">
        <f>COUNTIFS('Season Log'!$C$4:$C$203,$A17,'Season Log'!$G$4:$G$203,"Pre",'Season Log'!$B$4:$B$203,"&lt;&gt;Finals",'Season Log'!$D$4:$D$203,4)</f>
        <v>0</v>
      </c>
      <c r="F17" s="18">
        <f>COUNTIFS('Season Log'!$C$4:$C$203,$A17,'Season Log'!$G$4:$G$203,"Pre",'Season Log'!$B$4:$B$203,"&lt;&gt;Finals",'Season Log'!$D$4:$D$203,5)</f>
        <v>0</v>
      </c>
      <c r="G17" s="18">
        <f>COUNTIFS('Season Log'!$C$4:$C$203,$A17,'Season Log'!$G$4:$G$203,"Pre",'Season Log'!$B$4:$B$203,"&lt;&gt;Finals",'Season Log'!$D$4:$D$203,6)</f>
        <v>0</v>
      </c>
      <c r="H17" s="18">
        <f>COUNTIFS('Season Log'!$C$4:$C$203,$A17,'Season Log'!$G$4:$G$203,"Pre",'Season Log'!$B$4:$B$203,"&lt;&gt;Finals",'Season Log'!$D$4:$D$203,7)</f>
        <v>0</v>
      </c>
      <c r="I17" s="18">
        <f>COUNTIFS('Season Log'!$C$4:$C$203,$A17,'Season Log'!$G$4:$G$203,"Pre",'Season Log'!$B$4:$B$203,"&lt;&gt;Finals",'Season Log'!$D$4:$D$203,8)</f>
        <v>0</v>
      </c>
      <c r="J17" s="18">
        <f>COUNTIFS('Season Log'!$C$4:$C$203,$A17,'Season Log'!$G$4:$G$203,"Pre",'Season Log'!$B$4:$B$203,"&lt;&gt;Finals",'Season Log'!$D$4:$D$203,9)</f>
        <v>0</v>
      </c>
      <c r="K17" s="18">
        <f>COUNTIFS('Season Log'!$C$4:$C$203,$A17,'Season Log'!$G$4:$G$203,"Pre",'Season Log'!$B$4:$B$203,"&lt;&gt;Finals",'Season Log'!$D$4:$D$203,10)</f>
        <v>0</v>
      </c>
      <c r="L17" s="18">
        <f>COUNTIFS('Season Log'!$C$4:$C$203,$A17,'Season Log'!$G$4:$G$203,"Pre",'Season Log'!$B$4:$B$203,"&lt;&gt;Finals",'Season Log'!$D$4:$D$203,11)</f>
        <v>0</v>
      </c>
      <c r="M17" s="18">
        <f>COUNTIFS('Season Log'!$C$4:$C$203,$A17,'Season Log'!$G$4:$G$203,"Pre",'Season Log'!$B$4:$B$203,"&lt;&gt;Finals",'Season Log'!$D$4:$D$203,12)</f>
        <v>0</v>
      </c>
      <c r="N17" s="18">
        <f>COUNTIFS('Season Log'!$C$4:$C$203,$A17,'Season Log'!$G$4:$G$203,"Pre",'Season Log'!$B$4:$B$203,"&lt;&gt;Finals",'Season Log'!$D$4:$D$203,13)</f>
        <v>0</v>
      </c>
      <c r="O17" s="18">
        <f t="shared" si="0"/>
        <v>0</v>
      </c>
      <c r="P17" s="18">
        <f>COUNTIFS('Season Log'!$C$4:$C$203,$A17,'Season Log'!$G$4:$G$203,"Post",'Season Log'!$B$4:$B$203,"&lt;&gt;Finals",'Season Log'!$D$4:$D$203,1)</f>
        <v>0</v>
      </c>
      <c r="Q17" s="18">
        <f>COUNTIFS('Season Log'!$C$4:$C$203,$A17,'Season Log'!$G$4:$G$203,"Post",'Season Log'!$B$4:$B$203,"&lt;&gt;Finals",'Season Log'!$D$4:$D$203,2)</f>
        <v>0</v>
      </c>
      <c r="R17" s="18">
        <f>COUNTIFS('Season Log'!$C$4:$C$203,$A17,'Season Log'!$G$4:$G$203,"Post",'Season Log'!$B$4:$B$203,"&lt;&gt;Finals",'Season Log'!$D$4:$D$203,3)</f>
        <v>0</v>
      </c>
      <c r="S17" s="18">
        <f>COUNTIFS('Season Log'!$C$4:$C$203,$A17,'Season Log'!$G$4:$G$203,"Post",'Season Log'!$B$4:$B$203,"&lt;&gt;Finals",'Season Log'!$D$4:$D$203,4)</f>
        <v>0</v>
      </c>
      <c r="T17" s="18">
        <f>COUNTIFS('Season Log'!$C$4:$C$203,$A17,'Season Log'!$G$4:$G$203,"Post",'Season Log'!$B$4:$B$203,"&lt;&gt;Finals",'Season Log'!$D$4:$D$203,5)</f>
        <v>0</v>
      </c>
      <c r="U17" s="18">
        <f>COUNTIFS('Season Log'!$C$4:$C$203,$A17,'Season Log'!$G$4:$G$203,"Post",'Season Log'!$B$4:$B$203,"&lt;&gt;Finals",'Season Log'!$D$4:$D$203,6)</f>
        <v>0</v>
      </c>
      <c r="V17" s="18">
        <f>COUNTIFS('Season Log'!$C$4:$C$203,$A17,'Season Log'!$G$4:$G$203,"Post",'Season Log'!$B$4:$B$203,"&lt;&gt;Finals",'Season Log'!$D$4:$D$203,7)</f>
        <v>0</v>
      </c>
      <c r="W17" s="18">
        <f>COUNTIFS('Season Log'!$C$4:$C$203,$A17,'Season Log'!$G$4:$G$203,"Post",'Season Log'!$B$4:$B$203,"&lt;&gt;Finals",'Season Log'!$D$4:$D$203,8)</f>
        <v>0</v>
      </c>
      <c r="X17" s="18">
        <f>COUNTIFS('Season Log'!$C$4:$C$203,$A17,'Season Log'!$G$4:$G$203,"Post",'Season Log'!$B$4:$B$203,"&lt;&gt;Finals",'Season Log'!$D$4:$D$203,9)</f>
        <v>0</v>
      </c>
      <c r="Y17" s="18">
        <f>COUNTIFS('Season Log'!$C$4:$C$203,$A17,'Season Log'!$G$4:$G$203,"Post",'Season Log'!$B$4:$B$203,"&lt;&gt;Finals",'Season Log'!$D$4:$D$203,10)</f>
        <v>0</v>
      </c>
      <c r="Z17" s="18">
        <f>COUNTIFS('Season Log'!$C$4:$C$203,$A17,'Season Log'!$G$4:$G$203,"Post",'Season Log'!$B$4:$B$203,"&lt;&gt;Finals",'Season Log'!$D$4:$D$203,11)</f>
        <v>0</v>
      </c>
      <c r="AA17" s="18">
        <f>COUNTIFS('Season Log'!$C$4:$C$203,$A17,'Season Log'!$G$4:$G$203,"Post",'Season Log'!$B$4:$B$203,"&lt;&gt;Finals",'Season Log'!$D$4:$D$203,12)</f>
        <v>0</v>
      </c>
      <c r="AB17" s="18">
        <f>COUNTIFS('Season Log'!$C$4:$C$203,$A17,'Season Log'!$G$4:$G$203,"Post",'Season Log'!$B$4:$B$203,"&lt;&gt;Finals",'Season Log'!$D$4:$D$203,13)</f>
        <v>0</v>
      </c>
      <c r="AC17" s="18">
        <f t="shared" si="1"/>
        <v>0</v>
      </c>
      <c r="AD17" s="18">
        <f>COUNTIFS('Season Log'!$C$4:$C$203,$A17,'Season Log'!$G$4:$G$203,"Pre",'Season Log'!$B$4:$B$203,"&lt;&gt;Finals",'Season Log'!$E$4:$E$203,1)</f>
        <v>0</v>
      </c>
      <c r="AE17" s="18">
        <f>COUNTIFS('Season Log'!$C$4:$C$203,$A17,'Season Log'!$G$4:$G$203,"Pre",'Season Log'!$B$4:$B$203,"&lt;&gt;Finals",'Season Log'!$E$4:$E$203,2)</f>
        <v>0</v>
      </c>
      <c r="AF17" s="18">
        <f>COUNTIFS('Season Log'!$C$4:$C$203,$A17,'Season Log'!$G$4:$G$203,"Pre",'Season Log'!$B$4:$B$203,"&lt;&gt;Finals",'Season Log'!$E$4:$E$203,3)</f>
        <v>0</v>
      </c>
      <c r="AG17" s="18">
        <f>COUNTIFS('Season Log'!$C$4:$C$203,$A17,'Season Log'!$G$4:$G$203,"Pre",'Season Log'!$B$4:$B$203,"&lt;&gt;Finals",'Season Log'!$E$4:$E$203,4)</f>
        <v>0</v>
      </c>
      <c r="AH17" s="18">
        <f>COUNTIFS('Season Log'!$C$4:$C$203,$A17,'Season Log'!$G$4:$G$203,"Pre",'Season Log'!$B$4:$B$203,"&lt;&gt;Finals",'Season Log'!$E$4:$E$203,5)</f>
        <v>0</v>
      </c>
      <c r="AI17" s="18">
        <f>COUNTIFS('Season Log'!$C$4:$C$203,$A17,'Season Log'!$G$4:$G$203,"Pre",'Season Log'!$B$4:$B$203,"&lt;&gt;Finals",'Season Log'!$E$4:$E$203,6)</f>
        <v>0</v>
      </c>
      <c r="AJ17" s="18">
        <f>COUNTIFS('Season Log'!$C$4:$C$203,$A17,'Season Log'!$G$4:$G$203,"Pre",'Season Log'!$B$4:$B$203,"&lt;&gt;Finals",'Season Log'!$E$4:$E$203,7)</f>
        <v>0</v>
      </c>
      <c r="AK17" s="18">
        <f>COUNTIFS('Season Log'!$C$4:$C$203,$A17,'Season Log'!$G$4:$G$203,"Pre",'Season Log'!$B$4:$B$203,"&lt;&gt;Finals",'Season Log'!$E$4:$E$203,8)</f>
        <v>0</v>
      </c>
      <c r="AL17" s="18">
        <f>COUNTIFS('Season Log'!$C$4:$C$203,$A17,'Season Log'!$G$4:$G$203,"Pre",'Season Log'!$B$4:$B$203,"&lt;&gt;Finals",'Season Log'!$E$4:$E$203,9)</f>
        <v>0</v>
      </c>
      <c r="AM17" s="18">
        <f>COUNTIFS('Season Log'!$C$4:$C$203,$A17,'Season Log'!$G$4:$G$203,"Pre",'Season Log'!$B$4:$B$203,"&lt;&gt;Finals",'Season Log'!$E$4:$E$203,10)</f>
        <v>0</v>
      </c>
      <c r="AN17" s="18">
        <f>COUNTIFS('Season Log'!$C$4:$C$203,$A17,'Season Log'!$G$4:$G$203,"Pre",'Season Log'!$B$4:$B$203,"&lt;&gt;Finals",'Season Log'!$E$4:$E$203,11)</f>
        <v>0</v>
      </c>
      <c r="AO17" s="18">
        <f>COUNTIFS('Season Log'!$C$4:$C$203,$A17,'Season Log'!$G$4:$G$203,"Pre",'Season Log'!$B$4:$B$203,"&lt;&gt;Finals",'Season Log'!$E$4:$E$203,12)</f>
        <v>0</v>
      </c>
      <c r="AP17" s="18">
        <f>COUNTIFS('Season Log'!$C$4:$C$203,$A17,'Season Log'!$G$4:$G$203,"Pre",'Season Log'!$B$4:$B$203,"&lt;&gt;Finals",'Season Log'!$E$4:$E$203,13)</f>
        <v>0</v>
      </c>
      <c r="AQ17" s="18">
        <f t="shared" si="2"/>
        <v>0</v>
      </c>
      <c r="AR17" s="18">
        <f>COUNTIFS('Season Log'!$C$4:$C$203,$A17,'Season Log'!$G$4:$G$203,"Post",'Season Log'!$B$4:$B$203,"&lt;&gt;Finals",'Season Log'!$E$4:$E$203,1)</f>
        <v>0</v>
      </c>
      <c r="AS17" s="18">
        <f>COUNTIFS('Season Log'!$C$4:$C$203,$A17,'Season Log'!$G$4:$G$203,"Post",'Season Log'!$B$4:$B$203,"&lt;&gt;Finals",'Season Log'!$E$4:$E$203,2)</f>
        <v>0</v>
      </c>
      <c r="AT17" s="18">
        <f>COUNTIFS('Season Log'!$C$4:$C$203,$A17,'Season Log'!$G$4:$G$203,"Post",'Season Log'!$B$4:$B$203,"&lt;&gt;Finals",'Season Log'!$E$4:$E$203,3)</f>
        <v>0</v>
      </c>
      <c r="AU17" s="18">
        <f>COUNTIFS('Season Log'!$C$4:$C$203,$A17,'Season Log'!$G$4:$G$203,"Post",'Season Log'!$B$4:$B$203,"&lt;&gt;Finals",'Season Log'!$E$4:$E$203,4)</f>
        <v>0</v>
      </c>
      <c r="AV17" s="18">
        <f>COUNTIFS('Season Log'!$C$4:$C$203,$A17,'Season Log'!$G$4:$G$203,"Post",'Season Log'!$B$4:$B$203,"&lt;&gt;Finals",'Season Log'!$E$4:$E$203,5)</f>
        <v>0</v>
      </c>
      <c r="AW17" s="18">
        <f>COUNTIFS('Season Log'!$C$4:$C$203,$A17,'Season Log'!$G$4:$G$203,"Post",'Season Log'!$B$4:$B$203,"&lt;&gt;Finals",'Season Log'!$E$4:$E$203,6)</f>
        <v>0</v>
      </c>
      <c r="AX17" s="18">
        <f>COUNTIFS('Season Log'!$C$4:$C$203,$A17,'Season Log'!$G$4:$G$203,"Post",'Season Log'!$B$4:$B$203,"&lt;&gt;Finals",'Season Log'!$E$4:$E$203,7)</f>
        <v>0</v>
      </c>
      <c r="AY17" s="18">
        <f>COUNTIFS('Season Log'!$C$4:$C$203,$A17,'Season Log'!$G$4:$G$203,"Post",'Season Log'!$B$4:$B$203,"&lt;&gt;Finals",'Season Log'!$E$4:$E$203,8)</f>
        <v>0</v>
      </c>
      <c r="AZ17" s="18">
        <f>COUNTIFS('Season Log'!$C$4:$C$203,$A17,'Season Log'!$G$4:$G$203,"Post",'Season Log'!$B$4:$B$203,"&lt;&gt;Finals",'Season Log'!$E$4:$E$203,9)</f>
        <v>0</v>
      </c>
      <c r="BA17" s="18">
        <f>COUNTIFS('Season Log'!$C$4:$C$203,$A17,'Season Log'!$G$4:$G$203,"Post",'Season Log'!$B$4:$B$203,"&lt;&gt;Finals",'Season Log'!$E$4:$E$203,10)</f>
        <v>0</v>
      </c>
      <c r="BB17" s="18">
        <f>COUNTIFS('Season Log'!$C$4:$C$203,$A17,'Season Log'!$G$4:$G$203,"Post",'Season Log'!$B$4:$B$203,"&lt;&gt;Finals",'Season Log'!$E$4:$E$203,11)</f>
        <v>0</v>
      </c>
      <c r="BC17" s="18">
        <f>COUNTIFS('Season Log'!$C$4:$C$203,$A17,'Season Log'!$G$4:$G$203,"Post",'Season Log'!$B$4:$B$203,"&lt;&gt;Finals",'Season Log'!$E$4:$E$203,12)</f>
        <v>0</v>
      </c>
      <c r="BD17" s="18">
        <f>COUNTIFS('Season Log'!$C$4:$C$203,$A17,'Season Log'!$G$4:$G$203,"Post",'Season Log'!$B$4:$B$203,"&lt;&gt;Finals",'Season Log'!$E$4:$E$203,13)</f>
        <v>0</v>
      </c>
      <c r="BE17" s="18">
        <f t="shared" si="3"/>
        <v>0</v>
      </c>
      <c r="BF17" s="18" t="str">
        <f>IF(OR($A17="",IFERROR(INDEX(Setup!$C$18:$C$31,MATCH($A17,Setup!$B$18:$B$31,0)),"No")&lt;&gt;"Yes"),"",IF(AND(Setup!$B$3&lt;&gt;"Stage 2",Setup!$B$3&lt;&gt;"Stage 3"),"Stage 2/3 not selected",IF(Setup!$B$11="Finals","Finals - rotation waived",IF(AND($O17&gt;=5,$AC17&gt;=5,$AQ17&gt;=5,$BE17&gt;=5),"OK","Needs rotation"))))</f>
        <v/>
      </c>
    </row>
    <row r="18" spans="1:58" ht="15" customHeight="1">
      <c r="A18" s="18" t="str">
        <f>Setup!$B$30</f>
        <v>Player 13</v>
      </c>
      <c r="B18" s="18">
        <f>COUNTIFS('Season Log'!$C$4:$C$203,$A18,'Season Log'!$G$4:$G$203,"Pre",'Season Log'!$B$4:$B$203,"&lt;&gt;Finals",'Season Log'!$D$4:$D$203,1)</f>
        <v>0</v>
      </c>
      <c r="C18" s="18">
        <f>COUNTIFS('Season Log'!$C$4:$C$203,$A18,'Season Log'!$G$4:$G$203,"Pre",'Season Log'!$B$4:$B$203,"&lt;&gt;Finals",'Season Log'!$D$4:$D$203,2)</f>
        <v>0</v>
      </c>
      <c r="D18" s="18">
        <f>COUNTIFS('Season Log'!$C$4:$C$203,$A18,'Season Log'!$G$4:$G$203,"Pre",'Season Log'!$B$4:$B$203,"&lt;&gt;Finals",'Season Log'!$D$4:$D$203,3)</f>
        <v>0</v>
      </c>
      <c r="E18" s="18">
        <f>COUNTIFS('Season Log'!$C$4:$C$203,$A18,'Season Log'!$G$4:$G$203,"Pre",'Season Log'!$B$4:$B$203,"&lt;&gt;Finals",'Season Log'!$D$4:$D$203,4)</f>
        <v>0</v>
      </c>
      <c r="F18" s="18">
        <f>COUNTIFS('Season Log'!$C$4:$C$203,$A18,'Season Log'!$G$4:$G$203,"Pre",'Season Log'!$B$4:$B$203,"&lt;&gt;Finals",'Season Log'!$D$4:$D$203,5)</f>
        <v>0</v>
      </c>
      <c r="G18" s="18">
        <f>COUNTIFS('Season Log'!$C$4:$C$203,$A18,'Season Log'!$G$4:$G$203,"Pre",'Season Log'!$B$4:$B$203,"&lt;&gt;Finals",'Season Log'!$D$4:$D$203,6)</f>
        <v>0</v>
      </c>
      <c r="H18" s="18">
        <f>COUNTIFS('Season Log'!$C$4:$C$203,$A18,'Season Log'!$G$4:$G$203,"Pre",'Season Log'!$B$4:$B$203,"&lt;&gt;Finals",'Season Log'!$D$4:$D$203,7)</f>
        <v>0</v>
      </c>
      <c r="I18" s="18">
        <f>COUNTIFS('Season Log'!$C$4:$C$203,$A18,'Season Log'!$G$4:$G$203,"Pre",'Season Log'!$B$4:$B$203,"&lt;&gt;Finals",'Season Log'!$D$4:$D$203,8)</f>
        <v>0</v>
      </c>
      <c r="J18" s="18">
        <f>COUNTIFS('Season Log'!$C$4:$C$203,$A18,'Season Log'!$G$4:$G$203,"Pre",'Season Log'!$B$4:$B$203,"&lt;&gt;Finals",'Season Log'!$D$4:$D$203,9)</f>
        <v>0</v>
      </c>
      <c r="K18" s="18">
        <f>COUNTIFS('Season Log'!$C$4:$C$203,$A18,'Season Log'!$G$4:$G$203,"Pre",'Season Log'!$B$4:$B$203,"&lt;&gt;Finals",'Season Log'!$D$4:$D$203,10)</f>
        <v>0</v>
      </c>
      <c r="L18" s="18">
        <f>COUNTIFS('Season Log'!$C$4:$C$203,$A18,'Season Log'!$G$4:$G$203,"Pre",'Season Log'!$B$4:$B$203,"&lt;&gt;Finals",'Season Log'!$D$4:$D$203,11)</f>
        <v>0</v>
      </c>
      <c r="M18" s="18">
        <f>COUNTIFS('Season Log'!$C$4:$C$203,$A18,'Season Log'!$G$4:$G$203,"Pre",'Season Log'!$B$4:$B$203,"&lt;&gt;Finals",'Season Log'!$D$4:$D$203,12)</f>
        <v>0</v>
      </c>
      <c r="N18" s="18">
        <f>COUNTIFS('Season Log'!$C$4:$C$203,$A18,'Season Log'!$G$4:$G$203,"Pre",'Season Log'!$B$4:$B$203,"&lt;&gt;Finals",'Season Log'!$D$4:$D$203,13)</f>
        <v>0</v>
      </c>
      <c r="O18" s="18">
        <f t="shared" si="0"/>
        <v>0</v>
      </c>
      <c r="P18" s="18">
        <f>COUNTIFS('Season Log'!$C$4:$C$203,$A18,'Season Log'!$G$4:$G$203,"Post",'Season Log'!$B$4:$B$203,"&lt;&gt;Finals",'Season Log'!$D$4:$D$203,1)</f>
        <v>0</v>
      </c>
      <c r="Q18" s="18">
        <f>COUNTIFS('Season Log'!$C$4:$C$203,$A18,'Season Log'!$G$4:$G$203,"Post",'Season Log'!$B$4:$B$203,"&lt;&gt;Finals",'Season Log'!$D$4:$D$203,2)</f>
        <v>0</v>
      </c>
      <c r="R18" s="18">
        <f>COUNTIFS('Season Log'!$C$4:$C$203,$A18,'Season Log'!$G$4:$G$203,"Post",'Season Log'!$B$4:$B$203,"&lt;&gt;Finals",'Season Log'!$D$4:$D$203,3)</f>
        <v>0</v>
      </c>
      <c r="S18" s="18">
        <f>COUNTIFS('Season Log'!$C$4:$C$203,$A18,'Season Log'!$G$4:$G$203,"Post",'Season Log'!$B$4:$B$203,"&lt;&gt;Finals",'Season Log'!$D$4:$D$203,4)</f>
        <v>0</v>
      </c>
      <c r="T18" s="18">
        <f>COUNTIFS('Season Log'!$C$4:$C$203,$A18,'Season Log'!$G$4:$G$203,"Post",'Season Log'!$B$4:$B$203,"&lt;&gt;Finals",'Season Log'!$D$4:$D$203,5)</f>
        <v>0</v>
      </c>
      <c r="U18" s="18">
        <f>COUNTIFS('Season Log'!$C$4:$C$203,$A18,'Season Log'!$G$4:$G$203,"Post",'Season Log'!$B$4:$B$203,"&lt;&gt;Finals",'Season Log'!$D$4:$D$203,6)</f>
        <v>0</v>
      </c>
      <c r="V18" s="18">
        <f>COUNTIFS('Season Log'!$C$4:$C$203,$A18,'Season Log'!$G$4:$G$203,"Post",'Season Log'!$B$4:$B$203,"&lt;&gt;Finals",'Season Log'!$D$4:$D$203,7)</f>
        <v>0</v>
      </c>
      <c r="W18" s="18">
        <f>COUNTIFS('Season Log'!$C$4:$C$203,$A18,'Season Log'!$G$4:$G$203,"Post",'Season Log'!$B$4:$B$203,"&lt;&gt;Finals",'Season Log'!$D$4:$D$203,8)</f>
        <v>0</v>
      </c>
      <c r="X18" s="18">
        <f>COUNTIFS('Season Log'!$C$4:$C$203,$A18,'Season Log'!$G$4:$G$203,"Post",'Season Log'!$B$4:$B$203,"&lt;&gt;Finals",'Season Log'!$D$4:$D$203,9)</f>
        <v>0</v>
      </c>
      <c r="Y18" s="18">
        <f>COUNTIFS('Season Log'!$C$4:$C$203,$A18,'Season Log'!$G$4:$G$203,"Post",'Season Log'!$B$4:$B$203,"&lt;&gt;Finals",'Season Log'!$D$4:$D$203,10)</f>
        <v>0</v>
      </c>
      <c r="Z18" s="18">
        <f>COUNTIFS('Season Log'!$C$4:$C$203,$A18,'Season Log'!$G$4:$G$203,"Post",'Season Log'!$B$4:$B$203,"&lt;&gt;Finals",'Season Log'!$D$4:$D$203,11)</f>
        <v>0</v>
      </c>
      <c r="AA18" s="18">
        <f>COUNTIFS('Season Log'!$C$4:$C$203,$A18,'Season Log'!$G$4:$G$203,"Post",'Season Log'!$B$4:$B$203,"&lt;&gt;Finals",'Season Log'!$D$4:$D$203,12)</f>
        <v>0</v>
      </c>
      <c r="AB18" s="18">
        <f>COUNTIFS('Season Log'!$C$4:$C$203,$A18,'Season Log'!$G$4:$G$203,"Post",'Season Log'!$B$4:$B$203,"&lt;&gt;Finals",'Season Log'!$D$4:$D$203,13)</f>
        <v>0</v>
      </c>
      <c r="AC18" s="18">
        <f t="shared" si="1"/>
        <v>0</v>
      </c>
      <c r="AD18" s="18">
        <f>COUNTIFS('Season Log'!$C$4:$C$203,$A18,'Season Log'!$G$4:$G$203,"Pre",'Season Log'!$B$4:$B$203,"&lt;&gt;Finals",'Season Log'!$E$4:$E$203,1)</f>
        <v>0</v>
      </c>
      <c r="AE18" s="18">
        <f>COUNTIFS('Season Log'!$C$4:$C$203,$A18,'Season Log'!$G$4:$G$203,"Pre",'Season Log'!$B$4:$B$203,"&lt;&gt;Finals",'Season Log'!$E$4:$E$203,2)</f>
        <v>0</v>
      </c>
      <c r="AF18" s="18">
        <f>COUNTIFS('Season Log'!$C$4:$C$203,$A18,'Season Log'!$G$4:$G$203,"Pre",'Season Log'!$B$4:$B$203,"&lt;&gt;Finals",'Season Log'!$E$4:$E$203,3)</f>
        <v>0</v>
      </c>
      <c r="AG18" s="18">
        <f>COUNTIFS('Season Log'!$C$4:$C$203,$A18,'Season Log'!$G$4:$G$203,"Pre",'Season Log'!$B$4:$B$203,"&lt;&gt;Finals",'Season Log'!$E$4:$E$203,4)</f>
        <v>0</v>
      </c>
      <c r="AH18" s="18">
        <f>COUNTIFS('Season Log'!$C$4:$C$203,$A18,'Season Log'!$G$4:$G$203,"Pre",'Season Log'!$B$4:$B$203,"&lt;&gt;Finals",'Season Log'!$E$4:$E$203,5)</f>
        <v>0</v>
      </c>
      <c r="AI18" s="18">
        <f>COUNTIFS('Season Log'!$C$4:$C$203,$A18,'Season Log'!$G$4:$G$203,"Pre",'Season Log'!$B$4:$B$203,"&lt;&gt;Finals",'Season Log'!$E$4:$E$203,6)</f>
        <v>0</v>
      </c>
      <c r="AJ18" s="18">
        <f>COUNTIFS('Season Log'!$C$4:$C$203,$A18,'Season Log'!$G$4:$G$203,"Pre",'Season Log'!$B$4:$B$203,"&lt;&gt;Finals",'Season Log'!$E$4:$E$203,7)</f>
        <v>0</v>
      </c>
      <c r="AK18" s="18">
        <f>COUNTIFS('Season Log'!$C$4:$C$203,$A18,'Season Log'!$G$4:$G$203,"Pre",'Season Log'!$B$4:$B$203,"&lt;&gt;Finals",'Season Log'!$E$4:$E$203,8)</f>
        <v>0</v>
      </c>
      <c r="AL18" s="18">
        <f>COUNTIFS('Season Log'!$C$4:$C$203,$A18,'Season Log'!$G$4:$G$203,"Pre",'Season Log'!$B$4:$B$203,"&lt;&gt;Finals",'Season Log'!$E$4:$E$203,9)</f>
        <v>0</v>
      </c>
      <c r="AM18" s="18">
        <f>COUNTIFS('Season Log'!$C$4:$C$203,$A18,'Season Log'!$G$4:$G$203,"Pre",'Season Log'!$B$4:$B$203,"&lt;&gt;Finals",'Season Log'!$E$4:$E$203,10)</f>
        <v>0</v>
      </c>
      <c r="AN18" s="18">
        <f>COUNTIFS('Season Log'!$C$4:$C$203,$A18,'Season Log'!$G$4:$G$203,"Pre",'Season Log'!$B$4:$B$203,"&lt;&gt;Finals",'Season Log'!$E$4:$E$203,11)</f>
        <v>0</v>
      </c>
      <c r="AO18" s="18">
        <f>COUNTIFS('Season Log'!$C$4:$C$203,$A18,'Season Log'!$G$4:$G$203,"Pre",'Season Log'!$B$4:$B$203,"&lt;&gt;Finals",'Season Log'!$E$4:$E$203,12)</f>
        <v>0</v>
      </c>
      <c r="AP18" s="18">
        <f>COUNTIFS('Season Log'!$C$4:$C$203,$A18,'Season Log'!$G$4:$G$203,"Pre",'Season Log'!$B$4:$B$203,"&lt;&gt;Finals",'Season Log'!$E$4:$E$203,13)</f>
        <v>0</v>
      </c>
      <c r="AQ18" s="18">
        <f t="shared" si="2"/>
        <v>0</v>
      </c>
      <c r="AR18" s="18">
        <f>COUNTIFS('Season Log'!$C$4:$C$203,$A18,'Season Log'!$G$4:$G$203,"Post",'Season Log'!$B$4:$B$203,"&lt;&gt;Finals",'Season Log'!$E$4:$E$203,1)</f>
        <v>0</v>
      </c>
      <c r="AS18" s="18">
        <f>COUNTIFS('Season Log'!$C$4:$C$203,$A18,'Season Log'!$G$4:$G$203,"Post",'Season Log'!$B$4:$B$203,"&lt;&gt;Finals",'Season Log'!$E$4:$E$203,2)</f>
        <v>0</v>
      </c>
      <c r="AT18" s="18">
        <f>COUNTIFS('Season Log'!$C$4:$C$203,$A18,'Season Log'!$G$4:$G$203,"Post",'Season Log'!$B$4:$B$203,"&lt;&gt;Finals",'Season Log'!$E$4:$E$203,3)</f>
        <v>0</v>
      </c>
      <c r="AU18" s="18">
        <f>COUNTIFS('Season Log'!$C$4:$C$203,$A18,'Season Log'!$G$4:$G$203,"Post",'Season Log'!$B$4:$B$203,"&lt;&gt;Finals",'Season Log'!$E$4:$E$203,4)</f>
        <v>0</v>
      </c>
      <c r="AV18" s="18">
        <f>COUNTIFS('Season Log'!$C$4:$C$203,$A18,'Season Log'!$G$4:$G$203,"Post",'Season Log'!$B$4:$B$203,"&lt;&gt;Finals",'Season Log'!$E$4:$E$203,5)</f>
        <v>0</v>
      </c>
      <c r="AW18" s="18">
        <f>COUNTIFS('Season Log'!$C$4:$C$203,$A18,'Season Log'!$G$4:$G$203,"Post",'Season Log'!$B$4:$B$203,"&lt;&gt;Finals",'Season Log'!$E$4:$E$203,6)</f>
        <v>0</v>
      </c>
      <c r="AX18" s="18">
        <f>COUNTIFS('Season Log'!$C$4:$C$203,$A18,'Season Log'!$G$4:$G$203,"Post",'Season Log'!$B$4:$B$203,"&lt;&gt;Finals",'Season Log'!$E$4:$E$203,7)</f>
        <v>0</v>
      </c>
      <c r="AY18" s="18">
        <f>COUNTIFS('Season Log'!$C$4:$C$203,$A18,'Season Log'!$G$4:$G$203,"Post",'Season Log'!$B$4:$B$203,"&lt;&gt;Finals",'Season Log'!$E$4:$E$203,8)</f>
        <v>0</v>
      </c>
      <c r="AZ18" s="18">
        <f>COUNTIFS('Season Log'!$C$4:$C$203,$A18,'Season Log'!$G$4:$G$203,"Post",'Season Log'!$B$4:$B$203,"&lt;&gt;Finals",'Season Log'!$E$4:$E$203,9)</f>
        <v>0</v>
      </c>
      <c r="BA18" s="18">
        <f>COUNTIFS('Season Log'!$C$4:$C$203,$A18,'Season Log'!$G$4:$G$203,"Post",'Season Log'!$B$4:$B$203,"&lt;&gt;Finals",'Season Log'!$E$4:$E$203,10)</f>
        <v>0</v>
      </c>
      <c r="BB18" s="18">
        <f>COUNTIFS('Season Log'!$C$4:$C$203,$A18,'Season Log'!$G$4:$G$203,"Post",'Season Log'!$B$4:$B$203,"&lt;&gt;Finals",'Season Log'!$E$4:$E$203,11)</f>
        <v>0</v>
      </c>
      <c r="BC18" s="18">
        <f>COUNTIFS('Season Log'!$C$4:$C$203,$A18,'Season Log'!$G$4:$G$203,"Post",'Season Log'!$B$4:$B$203,"&lt;&gt;Finals",'Season Log'!$E$4:$E$203,12)</f>
        <v>0</v>
      </c>
      <c r="BD18" s="18">
        <f>COUNTIFS('Season Log'!$C$4:$C$203,$A18,'Season Log'!$G$4:$G$203,"Post",'Season Log'!$B$4:$B$203,"&lt;&gt;Finals",'Season Log'!$E$4:$E$203,13)</f>
        <v>0</v>
      </c>
      <c r="BE18" s="18">
        <f t="shared" si="3"/>
        <v>0</v>
      </c>
      <c r="BF18" s="18" t="str">
        <f>IF(OR($A18="",IFERROR(INDEX(Setup!$C$18:$C$31,MATCH($A18,Setup!$B$18:$B$31,0)),"No")&lt;&gt;"Yes"),"",IF(AND(Setup!$B$3&lt;&gt;"Stage 2",Setup!$B$3&lt;&gt;"Stage 3"),"Stage 2/3 not selected",IF(Setup!$B$11="Finals","Finals - rotation waived",IF(AND($O18&gt;=5,$AC18&gt;=5,$AQ18&gt;=5,$BE18&gt;=5),"OK","Needs rotation"))))</f>
        <v/>
      </c>
    </row>
    <row r="19" spans="1:58" ht="15" customHeight="1">
      <c r="A19" s="18" t="str">
        <f>Setup!$B$31</f>
        <v>Player 14</v>
      </c>
      <c r="B19" s="18">
        <f>COUNTIFS('Season Log'!$C$4:$C$203,$A19,'Season Log'!$G$4:$G$203,"Pre",'Season Log'!$B$4:$B$203,"&lt;&gt;Finals",'Season Log'!$D$4:$D$203,1)</f>
        <v>0</v>
      </c>
      <c r="C19" s="18">
        <f>COUNTIFS('Season Log'!$C$4:$C$203,$A19,'Season Log'!$G$4:$G$203,"Pre",'Season Log'!$B$4:$B$203,"&lt;&gt;Finals",'Season Log'!$D$4:$D$203,2)</f>
        <v>0</v>
      </c>
      <c r="D19" s="18">
        <f>COUNTIFS('Season Log'!$C$4:$C$203,$A19,'Season Log'!$G$4:$G$203,"Pre",'Season Log'!$B$4:$B$203,"&lt;&gt;Finals",'Season Log'!$D$4:$D$203,3)</f>
        <v>0</v>
      </c>
      <c r="E19" s="18">
        <f>COUNTIFS('Season Log'!$C$4:$C$203,$A19,'Season Log'!$G$4:$G$203,"Pre",'Season Log'!$B$4:$B$203,"&lt;&gt;Finals",'Season Log'!$D$4:$D$203,4)</f>
        <v>0</v>
      </c>
      <c r="F19" s="18">
        <f>COUNTIFS('Season Log'!$C$4:$C$203,$A19,'Season Log'!$G$4:$G$203,"Pre",'Season Log'!$B$4:$B$203,"&lt;&gt;Finals",'Season Log'!$D$4:$D$203,5)</f>
        <v>0</v>
      </c>
      <c r="G19" s="18">
        <f>COUNTIFS('Season Log'!$C$4:$C$203,$A19,'Season Log'!$G$4:$G$203,"Pre",'Season Log'!$B$4:$B$203,"&lt;&gt;Finals",'Season Log'!$D$4:$D$203,6)</f>
        <v>0</v>
      </c>
      <c r="H19" s="18">
        <f>COUNTIFS('Season Log'!$C$4:$C$203,$A19,'Season Log'!$G$4:$G$203,"Pre",'Season Log'!$B$4:$B$203,"&lt;&gt;Finals",'Season Log'!$D$4:$D$203,7)</f>
        <v>0</v>
      </c>
      <c r="I19" s="18">
        <f>COUNTIFS('Season Log'!$C$4:$C$203,$A19,'Season Log'!$G$4:$G$203,"Pre",'Season Log'!$B$4:$B$203,"&lt;&gt;Finals",'Season Log'!$D$4:$D$203,8)</f>
        <v>0</v>
      </c>
      <c r="J19" s="18">
        <f>COUNTIFS('Season Log'!$C$4:$C$203,$A19,'Season Log'!$G$4:$G$203,"Pre",'Season Log'!$B$4:$B$203,"&lt;&gt;Finals",'Season Log'!$D$4:$D$203,9)</f>
        <v>0</v>
      </c>
      <c r="K19" s="18">
        <f>COUNTIFS('Season Log'!$C$4:$C$203,$A19,'Season Log'!$G$4:$G$203,"Pre",'Season Log'!$B$4:$B$203,"&lt;&gt;Finals",'Season Log'!$D$4:$D$203,10)</f>
        <v>0</v>
      </c>
      <c r="L19" s="18">
        <f>COUNTIFS('Season Log'!$C$4:$C$203,$A19,'Season Log'!$G$4:$G$203,"Pre",'Season Log'!$B$4:$B$203,"&lt;&gt;Finals",'Season Log'!$D$4:$D$203,11)</f>
        <v>0</v>
      </c>
      <c r="M19" s="18">
        <f>COUNTIFS('Season Log'!$C$4:$C$203,$A19,'Season Log'!$G$4:$G$203,"Pre",'Season Log'!$B$4:$B$203,"&lt;&gt;Finals",'Season Log'!$D$4:$D$203,12)</f>
        <v>0</v>
      </c>
      <c r="N19" s="18">
        <f>COUNTIFS('Season Log'!$C$4:$C$203,$A19,'Season Log'!$G$4:$G$203,"Pre",'Season Log'!$B$4:$B$203,"&lt;&gt;Finals",'Season Log'!$D$4:$D$203,13)</f>
        <v>0</v>
      </c>
      <c r="O19" s="18">
        <f t="shared" si="0"/>
        <v>0</v>
      </c>
      <c r="P19" s="18">
        <f>COUNTIFS('Season Log'!$C$4:$C$203,$A19,'Season Log'!$G$4:$G$203,"Post",'Season Log'!$B$4:$B$203,"&lt;&gt;Finals",'Season Log'!$D$4:$D$203,1)</f>
        <v>0</v>
      </c>
      <c r="Q19" s="18">
        <f>COUNTIFS('Season Log'!$C$4:$C$203,$A19,'Season Log'!$G$4:$G$203,"Post",'Season Log'!$B$4:$B$203,"&lt;&gt;Finals",'Season Log'!$D$4:$D$203,2)</f>
        <v>0</v>
      </c>
      <c r="R19" s="18">
        <f>COUNTIFS('Season Log'!$C$4:$C$203,$A19,'Season Log'!$G$4:$G$203,"Post",'Season Log'!$B$4:$B$203,"&lt;&gt;Finals",'Season Log'!$D$4:$D$203,3)</f>
        <v>0</v>
      </c>
      <c r="S19" s="18">
        <f>COUNTIFS('Season Log'!$C$4:$C$203,$A19,'Season Log'!$G$4:$G$203,"Post",'Season Log'!$B$4:$B$203,"&lt;&gt;Finals",'Season Log'!$D$4:$D$203,4)</f>
        <v>0</v>
      </c>
      <c r="T19" s="18">
        <f>COUNTIFS('Season Log'!$C$4:$C$203,$A19,'Season Log'!$G$4:$G$203,"Post",'Season Log'!$B$4:$B$203,"&lt;&gt;Finals",'Season Log'!$D$4:$D$203,5)</f>
        <v>0</v>
      </c>
      <c r="U19" s="18">
        <f>COUNTIFS('Season Log'!$C$4:$C$203,$A19,'Season Log'!$G$4:$G$203,"Post",'Season Log'!$B$4:$B$203,"&lt;&gt;Finals",'Season Log'!$D$4:$D$203,6)</f>
        <v>0</v>
      </c>
      <c r="V19" s="18">
        <f>COUNTIFS('Season Log'!$C$4:$C$203,$A19,'Season Log'!$G$4:$G$203,"Post",'Season Log'!$B$4:$B$203,"&lt;&gt;Finals",'Season Log'!$D$4:$D$203,7)</f>
        <v>0</v>
      </c>
      <c r="W19" s="18">
        <f>COUNTIFS('Season Log'!$C$4:$C$203,$A19,'Season Log'!$G$4:$G$203,"Post",'Season Log'!$B$4:$B$203,"&lt;&gt;Finals",'Season Log'!$D$4:$D$203,8)</f>
        <v>0</v>
      </c>
      <c r="X19" s="18">
        <f>COUNTIFS('Season Log'!$C$4:$C$203,$A19,'Season Log'!$G$4:$G$203,"Post",'Season Log'!$B$4:$B$203,"&lt;&gt;Finals",'Season Log'!$D$4:$D$203,9)</f>
        <v>0</v>
      </c>
      <c r="Y19" s="18">
        <f>COUNTIFS('Season Log'!$C$4:$C$203,$A19,'Season Log'!$G$4:$G$203,"Post",'Season Log'!$B$4:$B$203,"&lt;&gt;Finals",'Season Log'!$D$4:$D$203,10)</f>
        <v>0</v>
      </c>
      <c r="Z19" s="18">
        <f>COUNTIFS('Season Log'!$C$4:$C$203,$A19,'Season Log'!$G$4:$G$203,"Post",'Season Log'!$B$4:$B$203,"&lt;&gt;Finals",'Season Log'!$D$4:$D$203,11)</f>
        <v>0</v>
      </c>
      <c r="AA19" s="18">
        <f>COUNTIFS('Season Log'!$C$4:$C$203,$A19,'Season Log'!$G$4:$G$203,"Post",'Season Log'!$B$4:$B$203,"&lt;&gt;Finals",'Season Log'!$D$4:$D$203,12)</f>
        <v>0</v>
      </c>
      <c r="AB19" s="18">
        <f>COUNTIFS('Season Log'!$C$4:$C$203,$A19,'Season Log'!$G$4:$G$203,"Post",'Season Log'!$B$4:$B$203,"&lt;&gt;Finals",'Season Log'!$D$4:$D$203,13)</f>
        <v>0</v>
      </c>
      <c r="AC19" s="18">
        <f t="shared" si="1"/>
        <v>0</v>
      </c>
      <c r="AD19" s="18">
        <f>COUNTIFS('Season Log'!$C$4:$C$203,$A19,'Season Log'!$G$4:$G$203,"Pre",'Season Log'!$B$4:$B$203,"&lt;&gt;Finals",'Season Log'!$E$4:$E$203,1)</f>
        <v>0</v>
      </c>
      <c r="AE19" s="18">
        <f>COUNTIFS('Season Log'!$C$4:$C$203,$A19,'Season Log'!$G$4:$G$203,"Pre",'Season Log'!$B$4:$B$203,"&lt;&gt;Finals",'Season Log'!$E$4:$E$203,2)</f>
        <v>0</v>
      </c>
      <c r="AF19" s="18">
        <f>COUNTIFS('Season Log'!$C$4:$C$203,$A19,'Season Log'!$G$4:$G$203,"Pre",'Season Log'!$B$4:$B$203,"&lt;&gt;Finals",'Season Log'!$E$4:$E$203,3)</f>
        <v>0</v>
      </c>
      <c r="AG19" s="18">
        <f>COUNTIFS('Season Log'!$C$4:$C$203,$A19,'Season Log'!$G$4:$G$203,"Pre",'Season Log'!$B$4:$B$203,"&lt;&gt;Finals",'Season Log'!$E$4:$E$203,4)</f>
        <v>0</v>
      </c>
      <c r="AH19" s="18">
        <f>COUNTIFS('Season Log'!$C$4:$C$203,$A19,'Season Log'!$G$4:$G$203,"Pre",'Season Log'!$B$4:$B$203,"&lt;&gt;Finals",'Season Log'!$E$4:$E$203,5)</f>
        <v>0</v>
      </c>
      <c r="AI19" s="18">
        <f>COUNTIFS('Season Log'!$C$4:$C$203,$A19,'Season Log'!$G$4:$G$203,"Pre",'Season Log'!$B$4:$B$203,"&lt;&gt;Finals",'Season Log'!$E$4:$E$203,6)</f>
        <v>0</v>
      </c>
      <c r="AJ19" s="18">
        <f>COUNTIFS('Season Log'!$C$4:$C$203,$A19,'Season Log'!$G$4:$G$203,"Pre",'Season Log'!$B$4:$B$203,"&lt;&gt;Finals",'Season Log'!$E$4:$E$203,7)</f>
        <v>0</v>
      </c>
      <c r="AK19" s="18">
        <f>COUNTIFS('Season Log'!$C$4:$C$203,$A19,'Season Log'!$G$4:$G$203,"Pre",'Season Log'!$B$4:$B$203,"&lt;&gt;Finals",'Season Log'!$E$4:$E$203,8)</f>
        <v>0</v>
      </c>
      <c r="AL19" s="18">
        <f>COUNTIFS('Season Log'!$C$4:$C$203,$A19,'Season Log'!$G$4:$G$203,"Pre",'Season Log'!$B$4:$B$203,"&lt;&gt;Finals",'Season Log'!$E$4:$E$203,9)</f>
        <v>0</v>
      </c>
      <c r="AM19" s="18">
        <f>COUNTIFS('Season Log'!$C$4:$C$203,$A19,'Season Log'!$G$4:$G$203,"Pre",'Season Log'!$B$4:$B$203,"&lt;&gt;Finals",'Season Log'!$E$4:$E$203,10)</f>
        <v>0</v>
      </c>
      <c r="AN19" s="18">
        <f>COUNTIFS('Season Log'!$C$4:$C$203,$A19,'Season Log'!$G$4:$G$203,"Pre",'Season Log'!$B$4:$B$203,"&lt;&gt;Finals",'Season Log'!$E$4:$E$203,11)</f>
        <v>0</v>
      </c>
      <c r="AO19" s="18">
        <f>COUNTIFS('Season Log'!$C$4:$C$203,$A19,'Season Log'!$G$4:$G$203,"Pre",'Season Log'!$B$4:$B$203,"&lt;&gt;Finals",'Season Log'!$E$4:$E$203,12)</f>
        <v>0</v>
      </c>
      <c r="AP19" s="18">
        <f>COUNTIFS('Season Log'!$C$4:$C$203,$A19,'Season Log'!$G$4:$G$203,"Pre",'Season Log'!$B$4:$B$203,"&lt;&gt;Finals",'Season Log'!$E$4:$E$203,13)</f>
        <v>0</v>
      </c>
      <c r="AQ19" s="18">
        <f t="shared" si="2"/>
        <v>0</v>
      </c>
      <c r="AR19" s="18">
        <f>COUNTIFS('Season Log'!$C$4:$C$203,$A19,'Season Log'!$G$4:$G$203,"Post",'Season Log'!$B$4:$B$203,"&lt;&gt;Finals",'Season Log'!$E$4:$E$203,1)</f>
        <v>0</v>
      </c>
      <c r="AS19" s="18">
        <f>COUNTIFS('Season Log'!$C$4:$C$203,$A19,'Season Log'!$G$4:$G$203,"Post",'Season Log'!$B$4:$B$203,"&lt;&gt;Finals",'Season Log'!$E$4:$E$203,2)</f>
        <v>0</v>
      </c>
      <c r="AT19" s="18">
        <f>COUNTIFS('Season Log'!$C$4:$C$203,$A19,'Season Log'!$G$4:$G$203,"Post",'Season Log'!$B$4:$B$203,"&lt;&gt;Finals",'Season Log'!$E$4:$E$203,3)</f>
        <v>0</v>
      </c>
      <c r="AU19" s="18">
        <f>COUNTIFS('Season Log'!$C$4:$C$203,$A19,'Season Log'!$G$4:$G$203,"Post",'Season Log'!$B$4:$B$203,"&lt;&gt;Finals",'Season Log'!$E$4:$E$203,4)</f>
        <v>0</v>
      </c>
      <c r="AV19" s="18">
        <f>COUNTIFS('Season Log'!$C$4:$C$203,$A19,'Season Log'!$G$4:$G$203,"Post",'Season Log'!$B$4:$B$203,"&lt;&gt;Finals",'Season Log'!$E$4:$E$203,5)</f>
        <v>0</v>
      </c>
      <c r="AW19" s="18">
        <f>COUNTIFS('Season Log'!$C$4:$C$203,$A19,'Season Log'!$G$4:$G$203,"Post",'Season Log'!$B$4:$B$203,"&lt;&gt;Finals",'Season Log'!$E$4:$E$203,6)</f>
        <v>0</v>
      </c>
      <c r="AX19" s="18">
        <f>COUNTIFS('Season Log'!$C$4:$C$203,$A19,'Season Log'!$G$4:$G$203,"Post",'Season Log'!$B$4:$B$203,"&lt;&gt;Finals",'Season Log'!$E$4:$E$203,7)</f>
        <v>0</v>
      </c>
      <c r="AY19" s="18">
        <f>COUNTIFS('Season Log'!$C$4:$C$203,$A19,'Season Log'!$G$4:$G$203,"Post",'Season Log'!$B$4:$B$203,"&lt;&gt;Finals",'Season Log'!$E$4:$E$203,8)</f>
        <v>0</v>
      </c>
      <c r="AZ19" s="18">
        <f>COUNTIFS('Season Log'!$C$4:$C$203,$A19,'Season Log'!$G$4:$G$203,"Post",'Season Log'!$B$4:$B$203,"&lt;&gt;Finals",'Season Log'!$E$4:$E$203,9)</f>
        <v>0</v>
      </c>
      <c r="BA19" s="18">
        <f>COUNTIFS('Season Log'!$C$4:$C$203,$A19,'Season Log'!$G$4:$G$203,"Post",'Season Log'!$B$4:$B$203,"&lt;&gt;Finals",'Season Log'!$E$4:$E$203,10)</f>
        <v>0</v>
      </c>
      <c r="BB19" s="18">
        <f>COUNTIFS('Season Log'!$C$4:$C$203,$A19,'Season Log'!$G$4:$G$203,"Post",'Season Log'!$B$4:$B$203,"&lt;&gt;Finals",'Season Log'!$E$4:$E$203,11)</f>
        <v>0</v>
      </c>
      <c r="BC19" s="18">
        <f>COUNTIFS('Season Log'!$C$4:$C$203,$A19,'Season Log'!$G$4:$G$203,"Post",'Season Log'!$B$4:$B$203,"&lt;&gt;Finals",'Season Log'!$E$4:$E$203,12)</f>
        <v>0</v>
      </c>
      <c r="BD19" s="18">
        <f>COUNTIFS('Season Log'!$C$4:$C$203,$A19,'Season Log'!$G$4:$G$203,"Post",'Season Log'!$B$4:$B$203,"&lt;&gt;Finals",'Season Log'!$E$4:$E$203,13)</f>
        <v>0</v>
      </c>
      <c r="BE19" s="18">
        <f t="shared" si="3"/>
        <v>0</v>
      </c>
      <c r="BF19" s="18" t="str">
        <f>IF(OR($A19="",IFERROR(INDEX(Setup!$C$18:$C$31,MATCH($A19,Setup!$B$18:$B$31,0)),"No")&lt;&gt;"Yes"),"",IF(AND(Setup!$B$3&lt;&gt;"Stage 2",Setup!$B$3&lt;&gt;"Stage 3"),"Stage 2/3 not selected",IF(Setup!$B$11="Finals","Finals - rotation waived",IF(AND($O19&gt;=5,$AC19&gt;=5,$AQ19&gt;=5,$BE19&gt;=5),"OK","Needs rotation"))))</f>
        <v/>
      </c>
    </row>
  </sheetData>
  <mergeCells count="2">
    <mergeCell ref="A1:BF1"/>
    <mergeCell ref="A3:B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6"/>
  <sheetViews>
    <sheetView showGridLines="0" workbookViewId="0">
      <selection sqref="A1:F1"/>
    </sheetView>
  </sheetViews>
  <sheetFormatPr defaultRowHeight="13.55"/>
  <cols>
    <col min="1" max="1" width="16" customWidth="1"/>
    <col min="2" max="2" width="24" customWidth="1"/>
    <col min="3" max="3" width="90" customWidth="1"/>
    <col min="4" max="6" width="2" customWidth="1"/>
  </cols>
  <sheetData>
    <row r="1" spans="1:6" ht="19.25" customHeight="1">
      <c r="A1" s="50" t="s">
        <v>250</v>
      </c>
      <c r="B1" s="50"/>
      <c r="C1" s="50"/>
      <c r="D1" s="50"/>
      <c r="E1" s="50"/>
      <c r="F1" s="50"/>
    </row>
    <row r="3" spans="1:6" ht="15" customHeight="1">
      <c r="A3" s="60" t="s">
        <v>251</v>
      </c>
      <c r="B3" s="61"/>
      <c r="C3" s="61"/>
      <c r="D3" s="61"/>
      <c r="E3" s="61"/>
      <c r="F3" s="62"/>
    </row>
    <row r="5" spans="1:6" ht="15" customHeight="1">
      <c r="A5" s="14" t="s">
        <v>252</v>
      </c>
      <c r="B5" s="15" t="s">
        <v>52</v>
      </c>
      <c r="C5" s="15" t="s">
        <v>253</v>
      </c>
      <c r="D5" s="15"/>
      <c r="E5" s="15"/>
      <c r="F5" s="16"/>
    </row>
    <row r="6" spans="1:6" ht="26.4" customHeight="1">
      <c r="A6" s="18" t="s">
        <v>254</v>
      </c>
      <c r="B6" s="18" t="s">
        <v>255</v>
      </c>
      <c r="C6" s="66" t="s">
        <v>256</v>
      </c>
      <c r="D6" s="66"/>
      <c r="E6" s="66"/>
      <c r="F6" s="66"/>
    </row>
    <row r="7" spans="1:6" ht="26.4" customHeight="1">
      <c r="A7" s="18" t="s">
        <v>257</v>
      </c>
      <c r="B7" s="18" t="s">
        <v>255</v>
      </c>
      <c r="C7" s="66" t="s">
        <v>258</v>
      </c>
      <c r="D7" s="66"/>
      <c r="E7" s="66"/>
      <c r="F7" s="66"/>
    </row>
    <row r="8" spans="1:6" ht="15" customHeight="1">
      <c r="A8" s="18" t="s">
        <v>259</v>
      </c>
      <c r="B8" s="18" t="s">
        <v>255</v>
      </c>
      <c r="C8" s="66" t="s">
        <v>260</v>
      </c>
      <c r="D8" s="66"/>
      <c r="E8" s="66"/>
      <c r="F8" s="66"/>
    </row>
    <row r="9" spans="1:6" ht="15" customHeight="1">
      <c r="A9" s="18" t="s">
        <v>261</v>
      </c>
      <c r="B9" s="18" t="s">
        <v>262</v>
      </c>
      <c r="C9" s="66" t="s">
        <v>263</v>
      </c>
      <c r="D9" s="66"/>
      <c r="E9" s="66"/>
      <c r="F9" s="66"/>
    </row>
    <row r="10" spans="1:6" ht="15" customHeight="1">
      <c r="A10" s="18" t="s">
        <v>261</v>
      </c>
      <c r="B10" s="18" t="s">
        <v>264</v>
      </c>
      <c r="C10" s="66" t="s">
        <v>263</v>
      </c>
      <c r="D10" s="66"/>
      <c r="E10" s="66"/>
      <c r="F10" s="66"/>
    </row>
    <row r="11" spans="1:6" ht="15" customHeight="1">
      <c r="A11" s="18" t="s">
        <v>261</v>
      </c>
      <c r="B11" s="18" t="s">
        <v>265</v>
      </c>
      <c r="C11" s="66" t="s">
        <v>263</v>
      </c>
      <c r="D11" s="66"/>
      <c r="E11" s="66"/>
      <c r="F11" s="66"/>
    </row>
    <row r="12" spans="1:6" ht="15" customHeight="1">
      <c r="A12" s="18" t="s">
        <v>261</v>
      </c>
      <c r="B12" s="18" t="s">
        <v>266</v>
      </c>
      <c r="C12" s="66" t="s">
        <v>263</v>
      </c>
      <c r="D12" s="66"/>
      <c r="E12" s="66"/>
      <c r="F12" s="66"/>
    </row>
    <row r="13" spans="1:6" ht="26.4" customHeight="1">
      <c r="A13" s="18" t="s">
        <v>254</v>
      </c>
      <c r="B13" s="18" t="s">
        <v>267</v>
      </c>
      <c r="C13" s="66" t="s">
        <v>268</v>
      </c>
      <c r="D13" s="66"/>
      <c r="E13" s="66"/>
      <c r="F13" s="66"/>
    </row>
    <row r="14" spans="1:6" ht="26.4" customHeight="1">
      <c r="A14" s="18" t="s">
        <v>254</v>
      </c>
      <c r="B14" s="18" t="s">
        <v>267</v>
      </c>
      <c r="C14" s="66" t="s">
        <v>269</v>
      </c>
      <c r="D14" s="66"/>
      <c r="E14" s="66"/>
      <c r="F14" s="66"/>
    </row>
    <row r="15" spans="1:6" ht="26.4" customHeight="1">
      <c r="A15" s="18" t="s">
        <v>257</v>
      </c>
      <c r="B15" s="18" t="s">
        <v>267</v>
      </c>
      <c r="C15" s="66" t="s">
        <v>270</v>
      </c>
      <c r="D15" s="66"/>
      <c r="E15" s="66"/>
      <c r="F15" s="66"/>
    </row>
    <row r="16" spans="1:6" ht="26.4" customHeight="1">
      <c r="A16" s="18" t="s">
        <v>257</v>
      </c>
      <c r="B16" s="18" t="s">
        <v>267</v>
      </c>
      <c r="C16" s="66" t="s">
        <v>271</v>
      </c>
      <c r="D16" s="66"/>
      <c r="E16" s="66"/>
      <c r="F16" s="66"/>
    </row>
    <row r="17" spans="1:6" ht="15" customHeight="1">
      <c r="A17" s="18" t="s">
        <v>261</v>
      </c>
      <c r="B17" s="18" t="s">
        <v>272</v>
      </c>
      <c r="C17" s="66" t="s">
        <v>273</v>
      </c>
      <c r="D17" s="66"/>
      <c r="E17" s="66"/>
      <c r="F17" s="66"/>
    </row>
    <row r="18" spans="1:6" ht="15" customHeight="1">
      <c r="A18" s="18" t="s">
        <v>261</v>
      </c>
      <c r="B18" s="18" t="s">
        <v>26</v>
      </c>
      <c r="C18" s="66" t="s">
        <v>273</v>
      </c>
      <c r="D18" s="66"/>
      <c r="E18" s="66"/>
      <c r="F18" s="66"/>
    </row>
    <row r="19" spans="1:6" ht="15" customHeight="1">
      <c r="A19" s="18" t="s">
        <v>261</v>
      </c>
      <c r="B19" s="18" t="s">
        <v>274</v>
      </c>
      <c r="C19" s="66" t="s">
        <v>275</v>
      </c>
      <c r="D19" s="66"/>
      <c r="E19" s="66"/>
      <c r="F19" s="66"/>
    </row>
    <row r="20" spans="1:6" ht="26.4" customHeight="1">
      <c r="A20" s="18" t="s">
        <v>8</v>
      </c>
      <c r="B20" s="18" t="s">
        <v>276</v>
      </c>
      <c r="C20" s="66" t="s">
        <v>277</v>
      </c>
      <c r="D20" s="66"/>
      <c r="E20" s="66"/>
      <c r="F20" s="66"/>
    </row>
    <row r="21" spans="1:6" ht="26.4" customHeight="1">
      <c r="A21" s="18" t="s">
        <v>8</v>
      </c>
      <c r="B21" s="18" t="s">
        <v>276</v>
      </c>
      <c r="C21" s="66" t="s">
        <v>278</v>
      </c>
      <c r="D21" s="66"/>
      <c r="E21" s="66"/>
      <c r="F21" s="66"/>
    </row>
    <row r="22" spans="1:6" ht="26.4" customHeight="1">
      <c r="A22" s="18" t="s">
        <v>8</v>
      </c>
      <c r="B22" s="18" t="s">
        <v>279</v>
      </c>
      <c r="C22" s="66" t="s">
        <v>280</v>
      </c>
      <c r="D22" s="66"/>
      <c r="E22" s="66"/>
      <c r="F22" s="66"/>
    </row>
    <row r="23" spans="1:6" ht="26.4" customHeight="1">
      <c r="A23" s="18" t="s">
        <v>8</v>
      </c>
      <c r="B23" s="18" t="s">
        <v>281</v>
      </c>
      <c r="C23" s="66" t="s">
        <v>282</v>
      </c>
      <c r="D23" s="66"/>
      <c r="E23" s="66"/>
      <c r="F23" s="66"/>
    </row>
    <row r="24" spans="1:6" ht="15" customHeight="1">
      <c r="A24" s="18" t="s">
        <v>261</v>
      </c>
      <c r="B24" s="18" t="s">
        <v>283</v>
      </c>
      <c r="C24" s="66" t="s">
        <v>284</v>
      </c>
      <c r="D24" s="66"/>
      <c r="E24" s="66"/>
      <c r="F24" s="66"/>
    </row>
    <row r="25" spans="1:6" ht="15" customHeight="1">
      <c r="A25" s="18" t="s">
        <v>261</v>
      </c>
      <c r="B25" s="18" t="s">
        <v>285</v>
      </c>
      <c r="C25" s="66" t="s">
        <v>286</v>
      </c>
      <c r="D25" s="66"/>
      <c r="E25" s="66"/>
      <c r="F25" s="66"/>
    </row>
    <row r="26" spans="1:6" ht="15" customHeight="1">
      <c r="A26" s="18" t="s">
        <v>261</v>
      </c>
      <c r="B26" s="18" t="s">
        <v>287</v>
      </c>
      <c r="C26" s="66" t="s">
        <v>286</v>
      </c>
      <c r="D26" s="66"/>
      <c r="E26" s="66"/>
      <c r="F26" s="66"/>
    </row>
    <row r="27" spans="1:6" ht="15" customHeight="1">
      <c r="A27" s="18" t="s">
        <v>261</v>
      </c>
      <c r="B27" s="18" t="s">
        <v>288</v>
      </c>
      <c r="C27" s="66" t="s">
        <v>286</v>
      </c>
      <c r="D27" s="66"/>
      <c r="E27" s="66"/>
      <c r="F27" s="66"/>
    </row>
    <row r="28" spans="1:6" ht="26.4" customHeight="1">
      <c r="A28" s="18" t="s">
        <v>254</v>
      </c>
      <c r="B28" s="18" t="s">
        <v>289</v>
      </c>
      <c r="C28" s="66" t="s">
        <v>290</v>
      </c>
      <c r="D28" s="66"/>
      <c r="E28" s="66"/>
      <c r="F28" s="66"/>
    </row>
    <row r="29" spans="1:6" ht="26.4" customHeight="1">
      <c r="A29" s="18" t="s">
        <v>257</v>
      </c>
      <c r="B29" s="18" t="s">
        <v>289</v>
      </c>
      <c r="C29" s="66" t="s">
        <v>291</v>
      </c>
      <c r="D29" s="66"/>
      <c r="E29" s="66"/>
      <c r="F29" s="66"/>
    </row>
    <row r="30" spans="1:6" ht="26.4" customHeight="1">
      <c r="A30" s="18" t="s">
        <v>8</v>
      </c>
      <c r="B30" s="18" t="s">
        <v>292</v>
      </c>
      <c r="C30" s="66" t="s">
        <v>293</v>
      </c>
      <c r="D30" s="66"/>
      <c r="E30" s="66"/>
      <c r="F30" s="66"/>
    </row>
    <row r="31" spans="1:6" ht="26.4" customHeight="1">
      <c r="A31" s="18" t="s">
        <v>8</v>
      </c>
      <c r="B31" s="18" t="s">
        <v>294</v>
      </c>
      <c r="C31" s="66" t="s">
        <v>295</v>
      </c>
      <c r="D31" s="66"/>
      <c r="E31" s="66"/>
      <c r="F31" s="66"/>
    </row>
    <row r="32" spans="1:6" ht="15" customHeight="1">
      <c r="A32" s="18" t="s">
        <v>8</v>
      </c>
      <c r="B32" s="18" t="s">
        <v>296</v>
      </c>
      <c r="C32" s="66" t="s">
        <v>297</v>
      </c>
      <c r="D32" s="66"/>
      <c r="E32" s="66"/>
      <c r="F32" s="66"/>
    </row>
    <row r="33" spans="1:6" ht="26.4" customHeight="1">
      <c r="A33" s="18" t="s">
        <v>8</v>
      </c>
      <c r="B33" s="18" t="s">
        <v>298</v>
      </c>
      <c r="C33" s="66" t="s">
        <v>299</v>
      </c>
      <c r="D33" s="66"/>
      <c r="E33" s="66"/>
      <c r="F33" s="66"/>
    </row>
    <row r="34" spans="1:6" ht="26.4" customHeight="1">
      <c r="A34" s="18" t="s">
        <v>259</v>
      </c>
      <c r="B34" s="18" t="s">
        <v>300</v>
      </c>
      <c r="C34" s="66" t="s">
        <v>301</v>
      </c>
      <c r="D34" s="66"/>
      <c r="E34" s="66"/>
      <c r="F34" s="66"/>
    </row>
    <row r="35" spans="1:6" ht="26.4" customHeight="1">
      <c r="A35" s="18" t="s">
        <v>259</v>
      </c>
      <c r="B35" s="18" t="s">
        <v>302</v>
      </c>
      <c r="C35" s="66" t="s">
        <v>303</v>
      </c>
      <c r="D35" s="66"/>
      <c r="E35" s="66"/>
      <c r="F35" s="66"/>
    </row>
    <row r="36" spans="1:6" ht="26.4" customHeight="1">
      <c r="A36" s="18" t="s">
        <v>304</v>
      </c>
      <c r="B36" s="18" t="s">
        <v>305</v>
      </c>
      <c r="C36" s="66" t="s">
        <v>306</v>
      </c>
      <c r="D36" s="66"/>
      <c r="E36" s="66"/>
      <c r="F36" s="66"/>
    </row>
  </sheetData>
  <mergeCells count="33">
    <mergeCell ref="A1:F1"/>
    <mergeCell ref="A3:F3"/>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34:F34"/>
    <mergeCell ref="C35:F35"/>
    <mergeCell ref="C36:F36"/>
    <mergeCell ref="C29:F29"/>
    <mergeCell ref="C30:F30"/>
    <mergeCell ref="C31:F31"/>
    <mergeCell ref="C32:F32"/>
    <mergeCell ref="C33:F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Setup</vt:lpstr>
      <vt:lpstr>Season Fixture</vt:lpstr>
      <vt:lpstr>Weekly Planner</vt:lpstr>
      <vt:lpstr>Match Day Summary</vt:lpstr>
      <vt:lpstr>Stage 1 Season</vt:lpstr>
      <vt:lpstr>Season Log</vt:lpstr>
      <vt:lpstr>Stage 2-3 Audit</vt:lpstr>
      <vt:lpstr>Rules</vt:lpstr>
      <vt:lpstr>'Match Day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Trevor Bilney</dc:creator>
  <cp:lastModifiedBy>Trevor Bilney</cp:lastModifiedBy>
  <dcterms:created xsi:type="dcterms:W3CDTF">2026-07-15T11:44:54Z</dcterms:created>
  <dcterms:modified xsi:type="dcterms:W3CDTF">2026-07-15T11:47:48Z</dcterms:modified>
</cp:coreProperties>
</file>